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ç PAV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<sst xmlns="http://schemas.openxmlformats.org/spreadsheetml/2006/main" count="433" uniqueCount="212">
  <si>
    <t>ORÇAMENTO DE SERVIÇOS E MATERIAIS</t>
  </si>
  <si>
    <t>Item</t>
  </si>
  <si>
    <t>Serviços</t>
  </si>
  <si>
    <t>Unid.</t>
  </si>
  <si>
    <t>Quant.</t>
  </si>
  <si>
    <t>Unitário</t>
  </si>
  <si>
    <t>Total</t>
  </si>
  <si>
    <t>MOB</t>
  </si>
  <si>
    <t>Material</t>
  </si>
  <si>
    <t>Equipam.</t>
  </si>
  <si>
    <t>1.0</t>
  </si>
  <si>
    <t>1.1</t>
  </si>
  <si>
    <t>m²</t>
  </si>
  <si>
    <t>1.2</t>
  </si>
  <si>
    <t>1.3</t>
  </si>
  <si>
    <t>m³</t>
  </si>
  <si>
    <t>2.0</t>
  </si>
  <si>
    <t>2.1</t>
  </si>
  <si>
    <t>2.2</t>
  </si>
  <si>
    <t>2.3</t>
  </si>
  <si>
    <t>2.4</t>
  </si>
  <si>
    <t>3.0</t>
  </si>
  <si>
    <t>3.1</t>
  </si>
  <si>
    <t>TOTAL GERAL</t>
  </si>
  <si>
    <t>CRONOGRAMA FÍSICO-FINANCEIRO</t>
  </si>
  <si>
    <t>ITEM</t>
  </si>
  <si>
    <t>DISCRIMINAÇÃO</t>
  </si>
  <si>
    <t>R$ %</t>
  </si>
  <si>
    <t>R$</t>
  </si>
  <si>
    <t>%</t>
  </si>
  <si>
    <t>Prefeito Municipal</t>
  </si>
  <si>
    <t>DIVERSOS</t>
  </si>
  <si>
    <t>Regularização e compactação do subleito</t>
  </si>
  <si>
    <t>Meio fio de concreto pré-moldado MFC 05</t>
  </si>
  <si>
    <t>m</t>
  </si>
  <si>
    <t>Espalhamento de bota fora</t>
  </si>
  <si>
    <t>2.5</t>
  </si>
  <si>
    <t>2.6</t>
  </si>
  <si>
    <t>2.7</t>
  </si>
  <si>
    <t>2.8</t>
  </si>
  <si>
    <t>3.2</t>
  </si>
  <si>
    <t>3.3</t>
  </si>
  <si>
    <t>3.4</t>
  </si>
  <si>
    <t>3.5</t>
  </si>
  <si>
    <t>3.6</t>
  </si>
  <si>
    <t>4.0</t>
  </si>
  <si>
    <t>4.1</t>
  </si>
  <si>
    <t>4.2</t>
  </si>
  <si>
    <t>Placa toda refletiva - regulamentação, advertência e indicativa</t>
  </si>
  <si>
    <t>Mobilização e desmobilização de equipamentos</t>
  </si>
  <si>
    <t>Escavação, carga e transporte de material de 1ª Categoria - DMT 800 a 1.000 m</t>
  </si>
  <si>
    <t>Transporte de material bota-fora DMT = 6,00km</t>
  </si>
  <si>
    <t>74204/001</t>
  </si>
  <si>
    <t>131-DAER</t>
  </si>
  <si>
    <t>73766/001</t>
  </si>
  <si>
    <t>Imprimação de base de pavimentação com emulsão CM-30</t>
  </si>
  <si>
    <t>Pintura de Ligação com emulsão RR-2C - p/ camada final</t>
  </si>
  <si>
    <t>73789/002</t>
  </si>
  <si>
    <t>Pintura c/ tinta em pó industrializada de cal, pigmento e fixador, duas demãos</t>
  </si>
  <si>
    <t>73791/001</t>
  </si>
  <si>
    <t>2.9</t>
  </si>
  <si>
    <t>Remoção material 1ª cat, em caminhão basculante, DMT=6 KM (incl carga mecânica e descarga) - (e=30cm)</t>
  </si>
  <si>
    <t>74203/001</t>
  </si>
  <si>
    <t>Compactação de valas, manualmente, sem controle de GC</t>
  </si>
  <si>
    <t>74006/001</t>
  </si>
  <si>
    <t>74119/001</t>
  </si>
  <si>
    <t>7264-DAER</t>
  </si>
  <si>
    <t>Escavação e acerto manual na faixa de 0,45m de largura p/ execução de meio-fio</t>
  </si>
  <si>
    <t>Placa de obra em chapa de aço galvanizado</t>
  </si>
  <si>
    <t>74209/001</t>
  </si>
  <si>
    <t>DATA-BASE:</t>
  </si>
  <si>
    <t>B.D.I. utilizado = 30%</t>
  </si>
  <si>
    <t>D.M.T. =</t>
  </si>
  <si>
    <t>m³xkm</t>
  </si>
  <si>
    <t>Carga, manobras e descarga de mistura betuminosa a quente, com caminhão basculante 6 m3, descarga em vibroacabadora</t>
  </si>
  <si>
    <r>
      <t xml:space="preserve">Proprietário –  </t>
    </r>
    <r>
      <rPr>
        <b/>
        <sz val="12"/>
        <rFont val="Times New Roman"/>
        <family val="1"/>
      </rPr>
      <t>PREFEITURA MUNICIPAL DE PINHAL DA SERRA</t>
    </r>
  </si>
  <si>
    <t>Local –  Ruas diversas do perímetro urbano de Pinhal da Serra/RS</t>
  </si>
  <si>
    <t>Código</t>
  </si>
  <si>
    <t>PREFEITURA MUNICIPAL DE PINHAL DA SERRA/RS</t>
  </si>
  <si>
    <r>
      <t xml:space="preserve">Local: </t>
    </r>
    <r>
      <rPr>
        <b/>
        <sz val="10"/>
        <color indexed="12"/>
        <rFont val="Arial"/>
        <family val="2"/>
      </rPr>
      <t>Perímetro urbano Pinhal da Serra/RS</t>
    </r>
  </si>
  <si>
    <t>Engenheiro Civil</t>
  </si>
  <si>
    <t xml:space="preserve">CREA/RS </t>
  </si>
  <si>
    <t>RUA NATALINO GIORDANO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</si>
  <si>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</si>
  <si>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</si>
  <si>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</si>
  <si>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</si>
  <si>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</si>
  <si>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</si>
  <si>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</si>
  <si>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</si>
  <si>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</si>
  <si>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</si>
  <si>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</si>
  <si>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</si>
  <si>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</si>
  <si>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74005/002</t>
  </si>
  <si>
    <t>Compactação mecânica c/ controle do GC&gt;=95% PN (áreas) (c/ motoniveladora 140 HP e rolo compressor vibratório 80 HP)</t>
  </si>
  <si>
    <t>Imprimação de base de pavimentação com emulsão CM-30 (borrachudos)</t>
  </si>
  <si>
    <t>1.17</t>
  </si>
  <si>
    <t>1.19</t>
  </si>
  <si>
    <t>1.20</t>
  </si>
  <si>
    <t>1.23</t>
  </si>
  <si>
    <t>1.24</t>
  </si>
  <si>
    <t>Sinalização horizontal com tinta retrorrefletiva a base de resina acrílica com microesferas de vidro - faixas de segurança e bordos da pista</t>
  </si>
  <si>
    <t>74021/002</t>
  </si>
  <si>
    <t>Ensaios de terraplenagem - camada final do aterro</t>
  </si>
  <si>
    <t>74021/006</t>
  </si>
  <si>
    <t>Ensaios de base estabilizada granulométricamente (macadame)</t>
  </si>
  <si>
    <t>73900/001</t>
  </si>
  <si>
    <t>Ensaios de imprimação - asfalto diluído</t>
  </si>
  <si>
    <t>74021/003</t>
  </si>
  <si>
    <t>Ensaios de regularização do subleito</t>
  </si>
  <si>
    <t>Ensaios de base estabilizada granulométricamente</t>
  </si>
  <si>
    <t>Ensaios de pintura de ligação</t>
  </si>
  <si>
    <t>73900/012</t>
  </si>
  <si>
    <t>Ensaios de concreto asfáltico</t>
  </si>
  <si>
    <t>ton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</si>
  <si>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</si>
  <si>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</si>
  <si>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</si>
  <si>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</si>
  <si>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</si>
  <si>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</si>
  <si>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</si>
  <si>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</si>
  <si>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</si>
  <si>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</si>
  <si>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</si>
  <si>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</si>
  <si>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</si>
  <si>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</si>
  <si>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</si>
  <si>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</si>
  <si>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</si>
  <si>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</si>
  <si>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</si>
  <si>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</si>
  <si>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</si>
  <si>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</si>
  <si>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</si>
  <si>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</si>
  <si>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</si>
  <si>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</si>
  <si>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</si>
  <si>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</si>
  <si>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</si>
  <si>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</si>
  <si>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</si>
  <si>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</si>
  <si>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</si>
  <si>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</si>
  <si>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</si>
  <si>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</si>
  <si>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</si>
  <si>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</si>
  <si>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</si>
  <si>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</si>
  <si>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</si>
  <si>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</si>
  <si>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</si>
  <si>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</si>
  <si>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</si>
  <si>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</si>
  <si>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</si>
  <si>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</si>
  <si>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</si>
  <si>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</si>
  <si>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</si>
  <si>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</si>
  <si>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</si>
  <si>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</si>
  <si>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</si>
  <si>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</si>
  <si>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</si>
  <si>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</si>
  <si>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</si>
  <si>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RUA LUIZA PESSOA DE OLIVEIRA</t>
  </si>
  <si>
    <t>vb</t>
  </si>
  <si>
    <t>Locação, marcação e nivelamento de pavimentação asfáltica, inclusive topógrafo</t>
  </si>
  <si>
    <t>3.34</t>
  </si>
  <si>
    <t>Transp. coml. c/ caminhão basc 6m3 - rodovia pavimentada - DMT=28km</t>
  </si>
  <si>
    <t>Transp. coml. c/ caminhão basc 6m3 - rodovia revest. Primário - DMT=62km</t>
  </si>
  <si>
    <t>Transp. coml. c/ caminhão basc 6m3 - rodovia pavimentada - DMT=70km</t>
  </si>
  <si>
    <t>Transp. coml. c/ caminhão basc 6m3 - rodovia revest. Primário - DMT=69km</t>
  </si>
  <si>
    <t>3.35</t>
  </si>
  <si>
    <t>Obra –  Pavimentação asfáltica com CBUQ - Etapa 02</t>
  </si>
  <si>
    <t>AV. LUIZ PESSOA DA SILVA NETO (da Ponte até o asfalto existente)</t>
  </si>
  <si>
    <t>OBS.:</t>
  </si>
  <si>
    <t>Escavação, carga e transporte de material de 3ª Categoria - DMT 800 a 1.000 m</t>
  </si>
  <si>
    <t>74-DAER</t>
  </si>
  <si>
    <t>3.36</t>
  </si>
  <si>
    <t>Transp. coml. c/ caminhão basc 6m3 - rodovia revest. Primário - DMT=30km</t>
  </si>
  <si>
    <t>3.37</t>
  </si>
  <si>
    <t>3.38</t>
  </si>
  <si>
    <t>Assentamento de brita 2 - drenos e filtros mm - exclusive material e transporte</t>
  </si>
  <si>
    <t>Pinhal da Serra, Julho de 2011.</t>
  </si>
  <si>
    <t>OBS:</t>
  </si>
  <si>
    <t xml:space="preserve">1 - Todo o material necessário para a execução da sub-base de macadame hidráulico (inclusive bloqueio e preenchimento), base de brita graduada, brita 2 (drenos), bem como para a execução do reaterro de </t>
  </si>
  <si>
    <t>1.18</t>
  </si>
  <si>
    <t>1.21</t>
  </si>
  <si>
    <t>1.22</t>
  </si>
  <si>
    <t>Execução do reaterro de borrachudos c/ macadame hidráulico, incl compactação (e=0,30m)  - exclusive material e transporte</t>
  </si>
  <si>
    <t>Execução da Sub-base com macadame hidráulico, incl compactação (esp.=0,13m)  - exclusive material e transporte</t>
  </si>
  <si>
    <t>Execução da Base de brita graduada, incl compactação (esp.=0,12m)  - exclusive material e transporte</t>
  </si>
  <si>
    <t>Fabricação e aplicação de Concreto Betuminoso Usinado a Quente (CBUQ),CAP 50/70, inclusive material e 25km de transporte (e=0,05m)</t>
  </si>
  <si>
    <t>são COMPACTADAS.</t>
  </si>
  <si>
    <t>borrachudos serão fornecidos e trasnportados pelo Município de Pinhal da Serra até o local da obra, sem ônus para a empresa executora dos serviços. Ressalta-se que as espessuras da sub-base e de base</t>
  </si>
  <si>
    <r>
      <t xml:space="preserve">Obra: </t>
    </r>
    <r>
      <rPr>
        <b/>
        <sz val="10"/>
        <color indexed="12"/>
        <rFont val="Arial"/>
        <family val="2"/>
      </rPr>
      <t>PAV. ASFÁLTICA COM CBUQ</t>
    </r>
  </si>
  <si>
    <t>José Fernando kuhn Adames                                                                     Ivandro Birck</t>
  </si>
  <si>
    <t>_______________________                                                          ______________________</t>
  </si>
  <si>
    <t>Eng. Civil CREA-RS 70952                                                                     Prefeito Municipal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</si>
</sst>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dd\-mmm\-yy"/>
    <numFmt numFmtId="174" formatCode="&quot;R$&quot;#,##0.00_);\(&quot;R$&quot;#,##0.00\)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[$-416]dddd\,\ d&quot; de &quot;mmmm&quot; de &quot;yyyy"/>
    <numFmt numFmtId="181" formatCode="#,##0.0"/>
    <numFmt numFmtId="182" formatCode="0.000"/>
    <numFmt numFmtId="183" formatCode="0.0000"/>
  </numFmts>
  <fonts count="45"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4" fontId="6" fillId="0" borderId="24" xfId="55" applyNumberFormat="1" applyFont="1" applyFill="1" applyBorder="1" applyAlignment="1" applyProtection="1">
      <alignment horizontal="right"/>
      <protection/>
    </xf>
    <xf numFmtId="4" fontId="6" fillId="0" borderId="24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51">
      <alignment/>
      <protection/>
    </xf>
    <xf numFmtId="0" fontId="7" fillId="0" borderId="26" xfId="51" applyFont="1" applyBorder="1" applyAlignment="1">
      <alignment horizontal="center"/>
      <protection/>
    </xf>
    <xf numFmtId="0" fontId="7" fillId="0" borderId="27" xfId="51" applyFont="1" applyBorder="1" applyAlignment="1">
      <alignment horizontal="center"/>
      <protection/>
    </xf>
    <xf numFmtId="0" fontId="8" fillId="0" borderId="26" xfId="51" applyFont="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1" fillId="0" borderId="28" xfId="51" applyFont="1" applyBorder="1" applyAlignment="1">
      <alignment horizontal="center"/>
      <protection/>
    </xf>
    <xf numFmtId="0" fontId="7" fillId="0" borderId="29" xfId="51" applyFont="1" applyFill="1" applyBorder="1" applyAlignment="1">
      <alignment horizontal="center"/>
      <protection/>
    </xf>
    <xf numFmtId="4" fontId="0" fillId="33" borderId="30" xfId="51" applyNumberFormat="1" applyFill="1" applyBorder="1" applyAlignment="1">
      <alignment horizontal="center"/>
      <protection/>
    </xf>
    <xf numFmtId="0" fontId="7" fillId="0" borderId="31" xfId="51" applyFont="1" applyFill="1" applyBorder="1" applyAlignment="1">
      <alignment horizontal="center"/>
      <protection/>
    </xf>
    <xf numFmtId="10" fontId="0" fillId="34" borderId="32" xfId="51" applyNumberFormat="1" applyFill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0" fillId="0" borderId="0" xfId="51" applyBorder="1" applyAlignment="1">
      <alignment horizontal="center"/>
      <protection/>
    </xf>
    <xf numFmtId="4" fontId="0" fillId="35" borderId="33" xfId="51" applyNumberFormat="1" applyFill="1" applyBorder="1" applyAlignment="1">
      <alignment horizontal="center"/>
      <protection/>
    </xf>
    <xf numFmtId="0" fontId="10" fillId="0" borderId="0" xfId="51" applyFont="1">
      <alignment/>
      <protection/>
    </xf>
    <xf numFmtId="10" fontId="0" fillId="35" borderId="32" xfId="51" applyNumberFormat="1" applyFill="1" applyBorder="1" applyAlignment="1">
      <alignment horizontal="center"/>
      <protection/>
    </xf>
    <xf numFmtId="0" fontId="0" fillId="0" borderId="34" xfId="51" applyBorder="1">
      <alignment/>
      <protection/>
    </xf>
    <xf numFmtId="0" fontId="0" fillId="0" borderId="34" xfId="51" applyFont="1" applyBorder="1">
      <alignment/>
      <protection/>
    </xf>
    <xf numFmtId="0" fontId="5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18" xfId="55" applyNumberFormat="1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>
      <alignment horizontal="left" vertical="center"/>
    </xf>
    <xf numFmtId="0" fontId="0" fillId="0" borderId="0" xfId="5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11" xfId="0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 wrapText="1"/>
    </xf>
    <xf numFmtId="4" fontId="5" fillId="0" borderId="18" xfId="55" applyNumberFormat="1" applyFont="1" applyFill="1" applyBorder="1" applyAlignment="1" applyProtection="1">
      <alignment horizontal="right" vertical="center"/>
      <protection/>
    </xf>
    <xf numFmtId="0" fontId="5" fillId="0" borderId="35" xfId="0" applyFont="1" applyBorder="1" applyAlignment="1">
      <alignment vertical="center" wrapText="1"/>
    </xf>
    <xf numFmtId="17" fontId="0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 wrapText="1"/>
    </xf>
    <xf numFmtId="4" fontId="5" fillId="0" borderId="20" xfId="55" applyNumberFormat="1" applyFont="1" applyFill="1" applyBorder="1" applyAlignment="1" applyProtection="1">
      <alignment horizontal="right" vertical="center"/>
      <protection/>
    </xf>
    <xf numFmtId="4" fontId="5" fillId="0" borderId="20" xfId="55" applyNumberFormat="1" applyFont="1" applyFill="1" applyBorder="1" applyAlignment="1" applyProtection="1">
      <alignment horizontal="right"/>
      <protection/>
    </xf>
    <xf numFmtId="0" fontId="5" fillId="0" borderId="35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1" fillId="35" borderId="30" xfId="51" applyFont="1" applyFill="1" applyBorder="1" applyAlignment="1">
      <alignment horizontal="center"/>
      <protection/>
    </xf>
    <xf numFmtId="4" fontId="0" fillId="35" borderId="36" xfId="51" applyNumberFormat="1" applyFill="1" applyBorder="1" applyAlignment="1">
      <alignment horizontal="center"/>
      <protection/>
    </xf>
    <xf numFmtId="4" fontId="0" fillId="35" borderId="37" xfId="51" applyNumberFormat="1" applyFill="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0" xfId="51" applyFont="1" applyAlignment="1">
      <alignment horizontal="center"/>
      <protection/>
    </xf>
    <xf numFmtId="0" fontId="0" fillId="0" borderId="38" xfId="51" applyFont="1" applyBorder="1" applyAlignment="1">
      <alignment horizontal="center"/>
      <protection/>
    </xf>
    <xf numFmtId="0" fontId="0" fillId="0" borderId="38" xfId="51" applyBorder="1" applyAlignment="1">
      <alignment horizontal="center"/>
      <protection/>
    </xf>
    <xf numFmtId="10" fontId="0" fillId="35" borderId="32" xfId="51" applyNumberFormat="1" applyFill="1" applyBorder="1" applyAlignment="1">
      <alignment horizontal="center"/>
      <protection/>
    </xf>
    <xf numFmtId="0" fontId="1" fillId="35" borderId="32" xfId="51" applyFont="1" applyFill="1" applyBorder="1" applyAlignment="1">
      <alignment horizontal="center"/>
      <protection/>
    </xf>
    <xf numFmtId="0" fontId="0" fillId="0" borderId="39" xfId="51" applyFont="1" applyFill="1" applyBorder="1" applyAlignment="1">
      <alignment horizontal="left"/>
      <protection/>
    </xf>
    <xf numFmtId="0" fontId="0" fillId="0" borderId="40" xfId="51" applyFont="1" applyFill="1" applyBorder="1" applyAlignment="1">
      <alignment horizontal="left"/>
      <protection/>
    </xf>
    <xf numFmtId="0" fontId="0" fillId="0" borderId="41" xfId="51" applyFont="1" applyFill="1" applyBorder="1" applyAlignment="1">
      <alignment horizontal="left"/>
      <protection/>
    </xf>
    <xf numFmtId="4" fontId="0" fillId="33" borderId="30" xfId="51" applyNumberFormat="1" applyFill="1" applyBorder="1" applyAlignment="1">
      <alignment horizontal="center"/>
      <protection/>
    </xf>
    <xf numFmtId="0" fontId="0" fillId="0" borderId="42" xfId="51" applyFont="1" applyFill="1" applyBorder="1" applyAlignment="1">
      <alignment horizontal="left"/>
      <protection/>
    </xf>
    <xf numFmtId="0" fontId="0" fillId="0" borderId="27" xfId="51" applyFont="1" applyFill="1" applyBorder="1" applyAlignment="1">
      <alignment horizontal="left"/>
      <protection/>
    </xf>
    <xf numFmtId="0" fontId="0" fillId="0" borderId="43" xfId="51" applyFont="1" applyFill="1" applyBorder="1" applyAlignment="1">
      <alignment horizontal="left"/>
      <protection/>
    </xf>
    <xf numFmtId="10" fontId="0" fillId="34" borderId="44" xfId="51" applyNumberFormat="1" applyFill="1" applyBorder="1" applyAlignment="1">
      <alignment horizontal="center"/>
      <protection/>
    </xf>
    <xf numFmtId="10" fontId="0" fillId="34" borderId="45" xfId="51" applyNumberFormat="1" applyFill="1" applyBorder="1" applyAlignment="1">
      <alignment horizontal="center"/>
      <protection/>
    </xf>
    <xf numFmtId="10" fontId="0" fillId="34" borderId="32" xfId="51" applyNumberFormat="1" applyFill="1" applyBorder="1" applyAlignment="1">
      <alignment horizontal="center"/>
      <protection/>
    </xf>
    <xf numFmtId="0" fontId="0" fillId="0" borderId="29" xfId="51" applyFont="1" applyFill="1" applyBorder="1" applyAlignment="1">
      <alignment horizontal="left"/>
      <protection/>
    </xf>
    <xf numFmtId="0" fontId="0" fillId="0" borderId="29" xfId="51" applyFont="1" applyFill="1" applyBorder="1" applyAlignment="1">
      <alignment horizontal="left"/>
      <protection/>
    </xf>
    <xf numFmtId="0" fontId="0" fillId="0" borderId="39" xfId="51" applyFont="1" applyFill="1" applyBorder="1" applyAlignment="1">
      <alignment horizontal="left" vertical="center" wrapText="1"/>
      <protection/>
    </xf>
    <xf numFmtId="0" fontId="0" fillId="0" borderId="40" xfId="51" applyFont="1" applyFill="1" applyBorder="1" applyAlignment="1">
      <alignment horizontal="left" vertical="center" wrapText="1"/>
      <protection/>
    </xf>
    <xf numFmtId="0" fontId="0" fillId="0" borderId="41" xfId="51" applyFont="1" applyFill="1" applyBorder="1" applyAlignment="1">
      <alignment horizontal="left" vertical="center" wrapText="1"/>
      <protection/>
    </xf>
    <xf numFmtId="0" fontId="0" fillId="0" borderId="42" xfId="51" applyFont="1" applyFill="1" applyBorder="1" applyAlignment="1">
      <alignment horizontal="left" vertical="center" wrapText="1"/>
      <protection/>
    </xf>
    <xf numFmtId="0" fontId="0" fillId="0" borderId="27" xfId="51" applyFont="1" applyFill="1" applyBorder="1" applyAlignment="1">
      <alignment horizontal="left" vertical="center" wrapText="1"/>
      <protection/>
    </xf>
    <xf numFmtId="0" fontId="0" fillId="0" borderId="43" xfId="51" applyFont="1" applyFill="1" applyBorder="1" applyAlignment="1">
      <alignment horizontal="left" vertical="center" wrapText="1"/>
      <protection/>
    </xf>
    <xf numFmtId="0" fontId="0" fillId="0" borderId="31" xfId="51" applyFont="1" applyFill="1" applyBorder="1" applyAlignment="1">
      <alignment horizontal="left"/>
      <protection/>
    </xf>
    <xf numFmtId="0" fontId="0" fillId="0" borderId="46" xfId="51" applyFont="1" applyBorder="1" applyAlignment="1">
      <alignment horizontal="center"/>
      <protection/>
    </xf>
    <xf numFmtId="0" fontId="0" fillId="0" borderId="26" xfId="51" applyFont="1" applyBorder="1" applyAlignment="1">
      <alignment horizontal="center"/>
      <protection/>
    </xf>
    <xf numFmtId="0" fontId="0" fillId="0" borderId="47" xfId="51" applyFont="1" applyBorder="1" applyAlignment="1">
      <alignment horizontal="center"/>
      <protection/>
    </xf>
    <xf numFmtId="0" fontId="0" fillId="0" borderId="46" xfId="51" applyFont="1" applyFill="1" applyBorder="1" applyAlignment="1">
      <alignment horizontal="center"/>
      <protection/>
    </xf>
    <xf numFmtId="0" fontId="0" fillId="0" borderId="26" xfId="51" applyFont="1" applyFill="1" applyBorder="1" applyAlignment="1">
      <alignment horizontal="center"/>
      <protection/>
    </xf>
    <xf numFmtId="0" fontId="0" fillId="0" borderId="47" xfId="51" applyFont="1" applyFill="1" applyBorder="1" applyAlignment="1">
      <alignment horizontal="center"/>
      <protection/>
    </xf>
    <xf numFmtId="0" fontId="7" fillId="0" borderId="29" xfId="51" applyFont="1" applyBorder="1" applyAlignment="1">
      <alignment horizontal="center"/>
      <protection/>
    </xf>
    <xf numFmtId="0" fontId="7" fillId="0" borderId="31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0" fontId="1" fillId="0" borderId="28" xfId="51" applyFont="1" applyBorder="1" applyAlignment="1">
      <alignment horizontal="center"/>
      <protection/>
    </xf>
    <xf numFmtId="0" fontId="1" fillId="35" borderId="28" xfId="51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tabSelected="1" workbookViewId="0" topLeftCell="A1">
      <pane ySplit="8" topLeftCell="A117" activePane="bottomLeft" state="frozen"/>
      <selection pane="topLeft" activeCell="A1" sqref="A1"/>
      <selection pane="bottomLeft" activeCell="I117" sqref="I117"/>
    </sheetView>
  </sheetViews>
  <sheetFormatPr defaultColWidth="9.140625" defaultRowHeight="12.75"/>
  <cols>
    <col min="1" max="1" width="1.8515625" style="1" customWidth="1"/>
    <col min="2" max="2" width="4.7109375" style="1" customWidth="1"/>
    <col min="3" max="3" width="9.8515625" style="1" hidden="1" customWidth="1"/>
    <col min="4" max="4" width="72.57421875" style="1" customWidth="1"/>
    <col min="5" max="5" width="6.28125" style="1" customWidth="1"/>
    <col min="6" max="6" width="10.421875" style="2" customWidth="1"/>
    <col min="7" max="7" width="8.8515625" style="3" customWidth="1"/>
    <col min="8" max="8" width="11.57421875" style="4" bestFit="1" customWidth="1"/>
    <col min="9" max="9" width="8.8515625" style="3" customWidth="1"/>
    <col min="10" max="10" width="13.00390625" style="4" customWidth="1"/>
    <col min="11" max="11" width="9.8515625" style="3" bestFit="1" customWidth="1"/>
    <col min="12" max="12" width="11.57421875" style="4" customWidth="1"/>
    <col min="13" max="13" width="13.7109375" style="3" customWidth="1"/>
    <col min="14" max="16384" width="9.140625" style="1" customWidth="1"/>
  </cols>
  <sheetData>
    <row r="1" spans="2:13" ht="25.5">
      <c r="B1" s="5"/>
      <c r="C1" s="85"/>
      <c r="D1" s="6" t="s">
        <v>0</v>
      </c>
      <c r="E1" s="7"/>
      <c r="F1" s="7"/>
      <c r="G1" s="7"/>
      <c r="H1" s="8"/>
      <c r="I1" s="9"/>
      <c r="J1" s="8" t="s">
        <v>70</v>
      </c>
      <c r="K1" s="95">
        <v>40544</v>
      </c>
      <c r="L1" s="8"/>
      <c r="M1" s="10"/>
    </row>
    <row r="2" spans="2:13" ht="15.75">
      <c r="B2" s="11"/>
      <c r="D2" s="12"/>
      <c r="E2" s="13"/>
      <c r="F2" s="13"/>
      <c r="G2" s="13"/>
      <c r="M2" s="14"/>
    </row>
    <row r="3" spans="2:13" ht="15.75">
      <c r="B3" s="11"/>
      <c r="D3" s="12" t="s">
        <v>186</v>
      </c>
      <c r="M3" s="14"/>
    </row>
    <row r="4" spans="2:13" ht="15.75">
      <c r="B4" s="11"/>
      <c r="D4" s="12" t="s">
        <v>75</v>
      </c>
      <c r="E4" s="15"/>
      <c r="F4" s="15"/>
      <c r="G4" s="15"/>
      <c r="H4" s="15"/>
      <c r="I4" s="15"/>
      <c r="J4" s="98"/>
      <c r="K4" s="15"/>
      <c r="L4" s="15"/>
      <c r="M4" s="16"/>
    </row>
    <row r="5" spans="2:13" ht="16.5" thickBot="1">
      <c r="B5" s="17"/>
      <c r="C5" s="19"/>
      <c r="D5" s="18" t="s">
        <v>76</v>
      </c>
      <c r="E5" s="19"/>
      <c r="F5" s="20"/>
      <c r="G5" s="21"/>
      <c r="H5" s="22"/>
      <c r="I5" s="22"/>
      <c r="J5" s="22"/>
      <c r="K5" s="97"/>
      <c r="L5" s="22"/>
      <c r="M5" s="23"/>
    </row>
    <row r="6" spans="2:13" ht="12.75">
      <c r="B6" s="24"/>
      <c r="C6" s="24"/>
      <c r="D6" s="24"/>
      <c r="E6" s="24"/>
      <c r="F6" s="25"/>
      <c r="G6" s="26"/>
      <c r="H6" s="27"/>
      <c r="I6" s="26"/>
      <c r="J6" s="27"/>
      <c r="K6" s="26"/>
      <c r="L6" s="27"/>
      <c r="M6" s="26"/>
    </row>
    <row r="7" spans="2:13" s="13" customFormat="1" ht="12.75">
      <c r="B7" s="112" t="s">
        <v>1</v>
      </c>
      <c r="C7" s="112" t="s">
        <v>77</v>
      </c>
      <c r="D7" s="112" t="s">
        <v>2</v>
      </c>
      <c r="E7" s="112" t="s">
        <v>3</v>
      </c>
      <c r="F7" s="113" t="s">
        <v>4</v>
      </c>
      <c r="G7" s="28" t="s">
        <v>5</v>
      </c>
      <c r="H7" s="28" t="s">
        <v>6</v>
      </c>
      <c r="I7" s="28" t="s">
        <v>5</v>
      </c>
      <c r="J7" s="28" t="s">
        <v>6</v>
      </c>
      <c r="K7" s="28" t="s">
        <v>5</v>
      </c>
      <c r="L7" s="28" t="s">
        <v>6</v>
      </c>
      <c r="M7" s="111" t="s">
        <v>6</v>
      </c>
    </row>
    <row r="8" spans="2:13" s="13" customFormat="1" ht="12.75">
      <c r="B8" s="112"/>
      <c r="C8" s="112"/>
      <c r="D8" s="112"/>
      <c r="E8" s="112"/>
      <c r="F8" s="114"/>
      <c r="G8" s="29" t="s">
        <v>7</v>
      </c>
      <c r="H8" s="29" t="s">
        <v>7</v>
      </c>
      <c r="I8" s="29" t="s">
        <v>8</v>
      </c>
      <c r="J8" s="29" t="s">
        <v>8</v>
      </c>
      <c r="K8" s="29" t="s">
        <v>9</v>
      </c>
      <c r="L8" s="29" t="s">
        <v>9</v>
      </c>
      <c r="M8" s="111"/>
    </row>
    <row r="9" spans="2:13" s="13" customFormat="1" ht="12.75">
      <c r="B9" s="30" t="s">
        <v>10</v>
      </c>
      <c r="C9" s="30"/>
      <c r="D9" s="30" t="s">
        <v>82</v>
      </c>
      <c r="E9" s="30"/>
      <c r="F9" s="31"/>
      <c r="G9" s="32"/>
      <c r="H9" s="32"/>
      <c r="I9" s="32"/>
      <c r="J9" s="32"/>
      <c r="K9" s="32"/>
      <c r="L9" s="33"/>
      <c r="M9" s="32"/>
    </row>
    <row r="10" spans="1:13" ht="12.75">
      <c r="A10" s="77"/>
      <c r="B10" s="82" t="s">
        <v>11</v>
      </c>
      <c r="C10" s="35">
        <v>73610</v>
      </c>
      <c r="D10" s="34" t="s">
        <v>179</v>
      </c>
      <c r="E10" s="35" t="s">
        <v>12</v>
      </c>
      <c r="F10" s="36">
        <v>8501.1</v>
      </c>
      <c r="G10" s="37">
        <v>0.07</v>
      </c>
      <c r="H10" s="37">
        <f aca="true" t="shared" si="0" ref="H10:H15">G10*F10</f>
        <v>595.0770000000001</v>
      </c>
      <c r="I10" s="37">
        <v>0.66</v>
      </c>
      <c r="J10" s="37">
        <f aca="true" t="shared" si="1" ref="J10:J15">I10*F10</f>
        <v>5610.726000000001</v>
      </c>
      <c r="K10" s="37">
        <v>1.1</v>
      </c>
      <c r="L10" s="38">
        <f aca="true" t="shared" si="2" ref="L10:L15">K10*F10</f>
        <v>9351.210000000001</v>
      </c>
      <c r="M10" s="37">
        <f aca="true" t="shared" si="3" ref="M10:M15">L10+J10+H10</f>
        <v>15557.013</v>
      </c>
    </row>
    <row r="11" spans="1:13" ht="12.75">
      <c r="A11" s="77"/>
      <c r="B11" s="82" t="s">
        <v>13</v>
      </c>
      <c r="C11" s="35">
        <v>72824</v>
      </c>
      <c r="D11" s="76" t="s">
        <v>50</v>
      </c>
      <c r="E11" s="35" t="s">
        <v>15</v>
      </c>
      <c r="F11" s="36">
        <v>2445.5</v>
      </c>
      <c r="G11" s="37">
        <v>0.22</v>
      </c>
      <c r="H11" s="37">
        <f t="shared" si="0"/>
        <v>538.01</v>
      </c>
      <c r="I11" s="37">
        <v>0</v>
      </c>
      <c r="J11" s="37">
        <f t="shared" si="1"/>
        <v>0</v>
      </c>
      <c r="K11" s="37">
        <v>5.32</v>
      </c>
      <c r="L11" s="38">
        <f t="shared" si="2"/>
        <v>13010.060000000001</v>
      </c>
      <c r="M11" s="37">
        <f t="shared" si="3"/>
        <v>13548.070000000002</v>
      </c>
    </row>
    <row r="12" spans="1:13" ht="27" customHeight="1">
      <c r="A12" s="77"/>
      <c r="B12" s="82" t="s">
        <v>14</v>
      </c>
      <c r="C12" s="88" t="s">
        <v>96</v>
      </c>
      <c r="D12" s="99" t="s">
        <v>97</v>
      </c>
      <c r="E12" s="88" t="s">
        <v>15</v>
      </c>
      <c r="F12" s="100">
        <v>1175.51</v>
      </c>
      <c r="G12" s="101">
        <v>0.19</v>
      </c>
      <c r="H12" s="101">
        <f t="shared" si="0"/>
        <v>223.3469</v>
      </c>
      <c r="I12" s="101">
        <v>0</v>
      </c>
      <c r="J12" s="101">
        <f t="shared" si="1"/>
        <v>0</v>
      </c>
      <c r="K12" s="101">
        <v>4.65</v>
      </c>
      <c r="L12" s="102">
        <f t="shared" si="2"/>
        <v>5466.1215</v>
      </c>
      <c r="M12" s="101">
        <f t="shared" si="3"/>
        <v>5689.4684</v>
      </c>
    </row>
    <row r="13" spans="1:13" ht="12.75">
      <c r="A13" s="77"/>
      <c r="B13" s="82" t="s">
        <v>83</v>
      </c>
      <c r="C13" s="35" t="s">
        <v>105</v>
      </c>
      <c r="D13" s="76" t="s">
        <v>106</v>
      </c>
      <c r="E13" s="35" t="s">
        <v>15</v>
      </c>
      <c r="F13" s="36">
        <f>F12</f>
        <v>1175.51</v>
      </c>
      <c r="G13" s="37">
        <v>0.03</v>
      </c>
      <c r="H13" s="37">
        <f t="shared" si="0"/>
        <v>35.265299999999996</v>
      </c>
      <c r="I13" s="37">
        <v>0</v>
      </c>
      <c r="J13" s="37">
        <f t="shared" si="1"/>
        <v>0</v>
      </c>
      <c r="K13" s="37">
        <v>0.88</v>
      </c>
      <c r="L13" s="38">
        <f t="shared" si="2"/>
        <v>1034.4488</v>
      </c>
      <c r="M13" s="37">
        <f t="shared" si="3"/>
        <v>1069.7141</v>
      </c>
    </row>
    <row r="14" spans="1:13" ht="12.75">
      <c r="A14" s="77"/>
      <c r="B14" s="82" t="s">
        <v>84</v>
      </c>
      <c r="C14" s="35" t="s">
        <v>52</v>
      </c>
      <c r="D14" s="34" t="s">
        <v>51</v>
      </c>
      <c r="E14" s="35" t="s">
        <v>15</v>
      </c>
      <c r="F14" s="36">
        <f>F11-F12</f>
        <v>1269.99</v>
      </c>
      <c r="G14" s="37">
        <v>0.35</v>
      </c>
      <c r="H14" s="37">
        <f t="shared" si="0"/>
        <v>444.49649999999997</v>
      </c>
      <c r="I14" s="37">
        <v>0</v>
      </c>
      <c r="J14" s="37">
        <f t="shared" si="1"/>
        <v>0</v>
      </c>
      <c r="K14" s="37">
        <v>8.53</v>
      </c>
      <c r="L14" s="38">
        <f t="shared" si="2"/>
        <v>10833.0147</v>
      </c>
      <c r="M14" s="37">
        <f t="shared" si="3"/>
        <v>11277.511199999999</v>
      </c>
    </row>
    <row r="15" spans="2:13" ht="12.75">
      <c r="B15" s="82" t="s">
        <v>85</v>
      </c>
      <c r="C15" s="35" t="s">
        <v>53</v>
      </c>
      <c r="D15" s="34" t="s">
        <v>35</v>
      </c>
      <c r="E15" s="35" t="s">
        <v>15</v>
      </c>
      <c r="F15" s="36">
        <f>F14</f>
        <v>1269.99</v>
      </c>
      <c r="G15" s="37">
        <v>0.1</v>
      </c>
      <c r="H15" s="37">
        <f t="shared" si="0"/>
        <v>126.99900000000001</v>
      </c>
      <c r="I15" s="37">
        <v>0</v>
      </c>
      <c r="J15" s="37">
        <f t="shared" si="1"/>
        <v>0</v>
      </c>
      <c r="K15" s="37">
        <v>2.47</v>
      </c>
      <c r="L15" s="38">
        <f t="shared" si="2"/>
        <v>3136.8753</v>
      </c>
      <c r="M15" s="37">
        <f t="shared" si="3"/>
        <v>3263.8743</v>
      </c>
    </row>
    <row r="16" spans="2:13" ht="24">
      <c r="B16" s="82" t="s">
        <v>86</v>
      </c>
      <c r="C16" s="88" t="s">
        <v>62</v>
      </c>
      <c r="D16" s="103" t="s">
        <v>61</v>
      </c>
      <c r="E16" s="88" t="s">
        <v>15</v>
      </c>
      <c r="F16" s="104">
        <v>148.81</v>
      </c>
      <c r="G16" s="101">
        <v>0.45</v>
      </c>
      <c r="H16" s="101">
        <f aca="true" t="shared" si="4" ref="H16:H22">G16*F16</f>
        <v>66.9645</v>
      </c>
      <c r="I16" s="101">
        <v>0</v>
      </c>
      <c r="J16" s="101">
        <f aca="true" t="shared" si="5" ref="J16:J22">I16*F16</f>
        <v>0</v>
      </c>
      <c r="K16" s="101">
        <v>10.96</v>
      </c>
      <c r="L16" s="102">
        <f aca="true" t="shared" si="6" ref="L16:L22">K16*F16</f>
        <v>1630.9576000000002</v>
      </c>
      <c r="M16" s="101">
        <f aca="true" t="shared" si="7" ref="M16:M22">L16+J16+H16</f>
        <v>1697.9221000000002</v>
      </c>
    </row>
    <row r="17" spans="2:13" ht="12.75">
      <c r="B17" s="82" t="s">
        <v>87</v>
      </c>
      <c r="C17" s="35" t="s">
        <v>64</v>
      </c>
      <c r="D17" s="34" t="s">
        <v>63</v>
      </c>
      <c r="E17" s="35" t="s">
        <v>15</v>
      </c>
      <c r="F17" s="105">
        <f>F20*0.2</f>
        <v>115.36</v>
      </c>
      <c r="G17" s="37">
        <v>0.59</v>
      </c>
      <c r="H17" s="37">
        <f t="shared" si="4"/>
        <v>68.0624</v>
      </c>
      <c r="I17" s="37">
        <v>0</v>
      </c>
      <c r="J17" s="37">
        <f t="shared" si="5"/>
        <v>0</v>
      </c>
      <c r="K17" s="37">
        <v>14.17</v>
      </c>
      <c r="L17" s="38">
        <f t="shared" si="6"/>
        <v>1634.6512</v>
      </c>
      <c r="M17" s="37">
        <f t="shared" si="7"/>
        <v>1702.7136</v>
      </c>
    </row>
    <row r="18" spans="2:13" ht="25.5" customHeight="1">
      <c r="B18" s="82" t="s">
        <v>88</v>
      </c>
      <c r="C18" s="88" t="s">
        <v>54</v>
      </c>
      <c r="D18" s="92" t="s">
        <v>202</v>
      </c>
      <c r="E18" s="78" t="s">
        <v>15</v>
      </c>
      <c r="F18" s="104">
        <f>F16</f>
        <v>148.81</v>
      </c>
      <c r="G18" s="101">
        <v>2.81</v>
      </c>
      <c r="H18" s="101">
        <f>G18*F18</f>
        <v>418.15610000000004</v>
      </c>
      <c r="I18" s="101">
        <v>0</v>
      </c>
      <c r="J18" s="101">
        <f>I18*F18</f>
        <v>0</v>
      </c>
      <c r="K18" s="101">
        <v>67.48</v>
      </c>
      <c r="L18" s="102">
        <f>K18*F18</f>
        <v>10041.6988</v>
      </c>
      <c r="M18" s="101">
        <f>L18+J18+H18</f>
        <v>10459.8549</v>
      </c>
    </row>
    <row r="19" spans="1:13" ht="12.75">
      <c r="A19" s="77"/>
      <c r="B19" s="82" t="s">
        <v>89</v>
      </c>
      <c r="C19" s="35" t="s">
        <v>107</v>
      </c>
      <c r="D19" s="76" t="s">
        <v>108</v>
      </c>
      <c r="E19" s="35" t="s">
        <v>15</v>
      </c>
      <c r="F19" s="36">
        <f>F18</f>
        <v>148.81</v>
      </c>
      <c r="G19" s="37">
        <v>0.03</v>
      </c>
      <c r="H19" s="37">
        <f>G19*F19</f>
        <v>4.4643</v>
      </c>
      <c r="I19" s="37">
        <v>0</v>
      </c>
      <c r="J19" s="37">
        <f>I19*F19</f>
        <v>0</v>
      </c>
      <c r="K19" s="37">
        <v>0.8</v>
      </c>
      <c r="L19" s="38">
        <f>K19*F19</f>
        <v>119.048</v>
      </c>
      <c r="M19" s="37">
        <f>L19+J19+H19</f>
        <v>123.5123</v>
      </c>
    </row>
    <row r="20" spans="2:13" ht="12.75">
      <c r="B20" s="82" t="s">
        <v>90</v>
      </c>
      <c r="C20" s="35">
        <v>72945</v>
      </c>
      <c r="D20" s="34" t="s">
        <v>98</v>
      </c>
      <c r="E20" s="40" t="s">
        <v>12</v>
      </c>
      <c r="F20" s="51">
        <v>576.8</v>
      </c>
      <c r="G20" s="41">
        <v>0.15</v>
      </c>
      <c r="H20" s="37">
        <f t="shared" si="4"/>
        <v>86.52</v>
      </c>
      <c r="I20" s="41">
        <v>1.38</v>
      </c>
      <c r="J20" s="37">
        <f t="shared" si="5"/>
        <v>795.9839999999999</v>
      </c>
      <c r="K20" s="41">
        <v>2.31</v>
      </c>
      <c r="L20" s="38">
        <f t="shared" si="6"/>
        <v>1332.408</v>
      </c>
      <c r="M20" s="37">
        <f t="shared" si="7"/>
        <v>2214.912</v>
      </c>
    </row>
    <row r="21" spans="1:13" ht="12.75">
      <c r="A21" s="77"/>
      <c r="B21" s="82" t="s">
        <v>91</v>
      </c>
      <c r="C21" s="35" t="s">
        <v>109</v>
      </c>
      <c r="D21" s="76" t="s">
        <v>110</v>
      </c>
      <c r="E21" s="35" t="s">
        <v>12</v>
      </c>
      <c r="F21" s="36">
        <f>F20</f>
        <v>576.8</v>
      </c>
      <c r="G21" s="37">
        <v>0.01</v>
      </c>
      <c r="H21" s="37">
        <f>G21*F21</f>
        <v>5.768</v>
      </c>
      <c r="I21" s="37">
        <v>0</v>
      </c>
      <c r="J21" s="37">
        <f>I21*F21</f>
        <v>0</v>
      </c>
      <c r="K21" s="37">
        <v>0.02</v>
      </c>
      <c r="L21" s="38">
        <f>K21*F21</f>
        <v>11.536</v>
      </c>
      <c r="M21" s="37">
        <f>L21+J21+H21</f>
        <v>17.304</v>
      </c>
    </row>
    <row r="22" spans="2:13" ht="12.75">
      <c r="B22" s="82" t="s">
        <v>92</v>
      </c>
      <c r="C22" s="35" t="s">
        <v>65</v>
      </c>
      <c r="D22" s="106" t="s">
        <v>195</v>
      </c>
      <c r="E22" s="40" t="s">
        <v>15</v>
      </c>
      <c r="F22" s="51">
        <v>35.67</v>
      </c>
      <c r="G22" s="51">
        <v>2.96</v>
      </c>
      <c r="H22" s="41">
        <f t="shared" si="4"/>
        <v>105.5832</v>
      </c>
      <c r="I22" s="41">
        <v>26.66</v>
      </c>
      <c r="J22" s="41">
        <f t="shared" si="5"/>
        <v>950.9622</v>
      </c>
      <c r="K22" s="41">
        <v>44.43</v>
      </c>
      <c r="L22" s="42">
        <f t="shared" si="6"/>
        <v>1584.8181</v>
      </c>
      <c r="M22" s="41">
        <f t="shared" si="7"/>
        <v>2641.3635</v>
      </c>
    </row>
    <row r="23" spans="2:13" ht="12.75">
      <c r="B23" s="82" t="s">
        <v>93</v>
      </c>
      <c r="C23" s="35">
        <v>72961</v>
      </c>
      <c r="D23" s="39" t="s">
        <v>32</v>
      </c>
      <c r="E23" s="40" t="s">
        <v>12</v>
      </c>
      <c r="F23" s="36">
        <v>8501.1</v>
      </c>
      <c r="G23" s="41">
        <v>0.07</v>
      </c>
      <c r="H23" s="37">
        <f aca="true" t="shared" si="8" ref="H23:H33">G23*F23</f>
        <v>595.0770000000001</v>
      </c>
      <c r="I23" s="41">
        <v>0</v>
      </c>
      <c r="J23" s="37">
        <f aca="true" t="shared" si="9" ref="J23:J33">I23*F23</f>
        <v>0</v>
      </c>
      <c r="K23" s="41">
        <v>1.91</v>
      </c>
      <c r="L23" s="38">
        <f aca="true" t="shared" si="10" ref="L23:L33">K23*F23</f>
        <v>16237.101</v>
      </c>
      <c r="M23" s="37">
        <f aca="true" t="shared" si="11" ref="M23:M34">L23+J23+H23</f>
        <v>16832.178</v>
      </c>
    </row>
    <row r="24" spans="1:13" ht="12.75">
      <c r="A24" s="77"/>
      <c r="B24" s="82" t="s">
        <v>94</v>
      </c>
      <c r="C24" s="35" t="s">
        <v>111</v>
      </c>
      <c r="D24" s="76" t="s">
        <v>112</v>
      </c>
      <c r="E24" s="35" t="s">
        <v>12</v>
      </c>
      <c r="F24" s="36">
        <f>F23</f>
        <v>8501.1</v>
      </c>
      <c r="G24" s="37">
        <v>0.01</v>
      </c>
      <c r="H24" s="37">
        <f>G24*F24</f>
        <v>85.01100000000001</v>
      </c>
      <c r="I24" s="37">
        <v>0</v>
      </c>
      <c r="J24" s="37">
        <f>I24*F24</f>
        <v>0</v>
      </c>
      <c r="K24" s="37">
        <v>0.41</v>
      </c>
      <c r="L24" s="38">
        <f>K24*F24</f>
        <v>3485.451</v>
      </c>
      <c r="M24" s="37">
        <f t="shared" si="11"/>
        <v>3570.462</v>
      </c>
    </row>
    <row r="25" spans="2:13" ht="25.5" customHeight="1">
      <c r="B25" s="82" t="s">
        <v>95</v>
      </c>
      <c r="C25" s="88" t="s">
        <v>54</v>
      </c>
      <c r="D25" s="92" t="s">
        <v>203</v>
      </c>
      <c r="E25" s="78" t="s">
        <v>15</v>
      </c>
      <c r="F25" s="91">
        <v>1045.89</v>
      </c>
      <c r="G25" s="101">
        <v>2.81</v>
      </c>
      <c r="H25" s="101">
        <f t="shared" si="8"/>
        <v>2938.9509000000003</v>
      </c>
      <c r="I25" s="101">
        <v>0</v>
      </c>
      <c r="J25" s="101">
        <f t="shared" si="9"/>
        <v>0</v>
      </c>
      <c r="K25" s="101">
        <v>67.48</v>
      </c>
      <c r="L25" s="102">
        <f t="shared" si="10"/>
        <v>70576.65720000002</v>
      </c>
      <c r="M25" s="101">
        <f t="shared" si="11"/>
        <v>73515.60810000001</v>
      </c>
    </row>
    <row r="26" spans="1:13" ht="12.75">
      <c r="A26" s="77"/>
      <c r="B26" s="82" t="s">
        <v>99</v>
      </c>
      <c r="C26" s="35" t="s">
        <v>107</v>
      </c>
      <c r="D26" s="76" t="s">
        <v>108</v>
      </c>
      <c r="E26" s="35" t="s">
        <v>15</v>
      </c>
      <c r="F26" s="36">
        <f>F25</f>
        <v>1045.89</v>
      </c>
      <c r="G26" s="37">
        <v>0.03</v>
      </c>
      <c r="H26" s="37">
        <f>G26*F26</f>
        <v>31.376700000000003</v>
      </c>
      <c r="I26" s="37">
        <v>0</v>
      </c>
      <c r="J26" s="37">
        <f>I26*F26</f>
        <v>0</v>
      </c>
      <c r="K26" s="37">
        <v>0.8</v>
      </c>
      <c r="L26" s="38">
        <f>K26*F26</f>
        <v>836.7120000000001</v>
      </c>
      <c r="M26" s="37">
        <f t="shared" si="11"/>
        <v>868.0887000000001</v>
      </c>
    </row>
    <row r="27" spans="2:13" ht="25.5" customHeight="1">
      <c r="B27" s="82" t="s">
        <v>199</v>
      </c>
      <c r="C27" s="88">
        <v>73710</v>
      </c>
      <c r="D27" s="110" t="s">
        <v>204</v>
      </c>
      <c r="E27" s="78" t="s">
        <v>15</v>
      </c>
      <c r="F27" s="91">
        <v>965.44</v>
      </c>
      <c r="G27" s="79">
        <v>4.33</v>
      </c>
      <c r="H27" s="101">
        <f t="shared" si="8"/>
        <v>4180.3552</v>
      </c>
      <c r="I27" s="79">
        <v>0</v>
      </c>
      <c r="J27" s="101">
        <f t="shared" si="9"/>
        <v>0</v>
      </c>
      <c r="K27" s="79">
        <v>64.99</v>
      </c>
      <c r="L27" s="102">
        <f t="shared" si="10"/>
        <v>62743.9456</v>
      </c>
      <c r="M27" s="101">
        <f t="shared" si="11"/>
        <v>66924.3008</v>
      </c>
    </row>
    <row r="28" spans="1:13" ht="12.75">
      <c r="A28" s="77"/>
      <c r="B28" s="82" t="s">
        <v>100</v>
      </c>
      <c r="C28" s="35" t="s">
        <v>107</v>
      </c>
      <c r="D28" s="76" t="s">
        <v>113</v>
      </c>
      <c r="E28" s="35" t="s">
        <v>15</v>
      </c>
      <c r="F28" s="36">
        <f>F27</f>
        <v>965.44</v>
      </c>
      <c r="G28" s="37">
        <v>0.03</v>
      </c>
      <c r="H28" s="37">
        <f>G28*F28</f>
        <v>28.9632</v>
      </c>
      <c r="I28" s="37">
        <v>0</v>
      </c>
      <c r="J28" s="37">
        <f>I28*F28</f>
        <v>0</v>
      </c>
      <c r="K28" s="37">
        <v>0.8</v>
      </c>
      <c r="L28" s="38">
        <f>K28*F28</f>
        <v>772.3520000000001</v>
      </c>
      <c r="M28" s="37">
        <f t="shared" si="11"/>
        <v>801.3152000000001</v>
      </c>
    </row>
    <row r="29" spans="2:13" ht="12.75">
      <c r="B29" s="82" t="s">
        <v>101</v>
      </c>
      <c r="C29" s="35">
        <v>72945</v>
      </c>
      <c r="D29" s="34" t="s">
        <v>55</v>
      </c>
      <c r="E29" s="40" t="s">
        <v>12</v>
      </c>
      <c r="F29" s="51">
        <v>8045.36</v>
      </c>
      <c r="G29" s="41">
        <v>0.15</v>
      </c>
      <c r="H29" s="37">
        <f>G29*F29</f>
        <v>1206.8039999999999</v>
      </c>
      <c r="I29" s="41">
        <v>1.38</v>
      </c>
      <c r="J29" s="37">
        <f>I29*F29</f>
        <v>11102.5968</v>
      </c>
      <c r="K29" s="41">
        <v>2.31</v>
      </c>
      <c r="L29" s="38">
        <f>K29*F29</f>
        <v>18584.7816</v>
      </c>
      <c r="M29" s="37">
        <f t="shared" si="11"/>
        <v>30894.182399999998</v>
      </c>
    </row>
    <row r="30" spans="1:13" ht="12.75">
      <c r="A30" s="77"/>
      <c r="B30" s="82" t="s">
        <v>200</v>
      </c>
      <c r="C30" s="35" t="s">
        <v>109</v>
      </c>
      <c r="D30" s="76" t="s">
        <v>110</v>
      </c>
      <c r="E30" s="35" t="s">
        <v>12</v>
      </c>
      <c r="F30" s="36">
        <f>F29</f>
        <v>8045.36</v>
      </c>
      <c r="G30" s="37">
        <v>0.01</v>
      </c>
      <c r="H30" s="37">
        <f>G30*F30</f>
        <v>80.4536</v>
      </c>
      <c r="I30" s="37">
        <v>0</v>
      </c>
      <c r="J30" s="37">
        <f>I30*F30</f>
        <v>0</v>
      </c>
      <c r="K30" s="37">
        <v>0.02</v>
      </c>
      <c r="L30" s="38">
        <f>K30*F30</f>
        <v>160.9072</v>
      </c>
      <c r="M30" s="37">
        <f t="shared" si="11"/>
        <v>241.36079999999998</v>
      </c>
    </row>
    <row r="31" spans="2:13" ht="12.75">
      <c r="B31" s="82" t="s">
        <v>201</v>
      </c>
      <c r="C31" s="35">
        <v>72943</v>
      </c>
      <c r="D31" s="34" t="s">
        <v>56</v>
      </c>
      <c r="E31" s="40" t="s">
        <v>12</v>
      </c>
      <c r="F31" s="51">
        <f>F29</f>
        <v>8045.36</v>
      </c>
      <c r="G31" s="41">
        <v>0.06</v>
      </c>
      <c r="H31" s="37">
        <f t="shared" si="8"/>
        <v>482.72159999999997</v>
      </c>
      <c r="I31" s="41">
        <v>0.54</v>
      </c>
      <c r="J31" s="37">
        <f t="shared" si="9"/>
        <v>4344.4944000000005</v>
      </c>
      <c r="K31" s="41">
        <v>0.9</v>
      </c>
      <c r="L31" s="38">
        <f t="shared" si="10"/>
        <v>7240.824</v>
      </c>
      <c r="M31" s="37">
        <f t="shared" si="11"/>
        <v>12068.04</v>
      </c>
    </row>
    <row r="32" spans="1:13" ht="12.75">
      <c r="A32" s="77"/>
      <c r="B32" s="82" t="s">
        <v>102</v>
      </c>
      <c r="C32" s="35">
        <v>74259</v>
      </c>
      <c r="D32" s="76" t="s">
        <v>114</v>
      </c>
      <c r="E32" s="35" t="s">
        <v>12</v>
      </c>
      <c r="F32" s="36">
        <f>F31</f>
        <v>8045.36</v>
      </c>
      <c r="G32" s="37">
        <v>0.01</v>
      </c>
      <c r="H32" s="37">
        <f>G32*F32</f>
        <v>80.4536</v>
      </c>
      <c r="I32" s="37">
        <v>0</v>
      </c>
      <c r="J32" s="37">
        <f>I32*F32</f>
        <v>0</v>
      </c>
      <c r="K32" s="37">
        <v>0.01</v>
      </c>
      <c r="L32" s="38">
        <f>K32*F32</f>
        <v>80.4536</v>
      </c>
      <c r="M32" s="37">
        <f t="shared" si="11"/>
        <v>160.9072</v>
      </c>
    </row>
    <row r="33" spans="2:13" ht="24">
      <c r="B33" s="82" t="s">
        <v>103</v>
      </c>
      <c r="C33" s="88">
        <v>72965</v>
      </c>
      <c r="D33" s="94" t="s">
        <v>205</v>
      </c>
      <c r="E33" s="78" t="s">
        <v>15</v>
      </c>
      <c r="F33" s="91">
        <v>402.26</v>
      </c>
      <c r="G33" s="79">
        <v>24.59</v>
      </c>
      <c r="H33" s="79">
        <f t="shared" si="8"/>
        <v>9891.5734</v>
      </c>
      <c r="I33" s="79">
        <v>221.33</v>
      </c>
      <c r="J33" s="79">
        <f t="shared" si="9"/>
        <v>89032.2058</v>
      </c>
      <c r="K33" s="79">
        <v>368.89</v>
      </c>
      <c r="L33" s="80">
        <f t="shared" si="10"/>
        <v>148389.69139999998</v>
      </c>
      <c r="M33" s="79">
        <f t="shared" si="11"/>
        <v>247313.47059999997</v>
      </c>
    </row>
    <row r="34" spans="2:13" ht="12.75">
      <c r="B34" s="82" t="s">
        <v>118</v>
      </c>
      <c r="C34" s="35">
        <v>72887</v>
      </c>
      <c r="D34" s="39" t="s">
        <v>183</v>
      </c>
      <c r="E34" s="40" t="s">
        <v>73</v>
      </c>
      <c r="F34" s="51">
        <f>F33*70</f>
        <v>28158.2</v>
      </c>
      <c r="G34" s="37">
        <v>0.03</v>
      </c>
      <c r="H34" s="37">
        <f>G34*F34</f>
        <v>844.746</v>
      </c>
      <c r="I34" s="37">
        <v>0</v>
      </c>
      <c r="J34" s="37">
        <f>I34*F34</f>
        <v>0</v>
      </c>
      <c r="K34" s="37">
        <v>0.82</v>
      </c>
      <c r="L34" s="38">
        <f>K34*F34</f>
        <v>23089.724</v>
      </c>
      <c r="M34" s="37">
        <f t="shared" si="11"/>
        <v>23934.469999999998</v>
      </c>
    </row>
    <row r="35" spans="2:13" ht="12.75">
      <c r="B35" s="82" t="s">
        <v>119</v>
      </c>
      <c r="C35" s="35">
        <v>72886</v>
      </c>
      <c r="D35" s="39" t="s">
        <v>184</v>
      </c>
      <c r="E35" s="40" t="s">
        <v>73</v>
      </c>
      <c r="F35" s="51">
        <f>F33*69</f>
        <v>27755.94</v>
      </c>
      <c r="G35" s="37">
        <v>0.04</v>
      </c>
      <c r="H35" s="37">
        <f>G35*F35</f>
        <v>1110.2376</v>
      </c>
      <c r="I35" s="37">
        <v>0</v>
      </c>
      <c r="J35" s="37">
        <f>I35*F35</f>
        <v>0</v>
      </c>
      <c r="K35" s="37">
        <v>0.98</v>
      </c>
      <c r="L35" s="38">
        <f>K35*F35</f>
        <v>27200.8212</v>
      </c>
      <c r="M35" s="37">
        <f aca="true" t="shared" si="12" ref="M35:M42">L35+J35+H35</f>
        <v>28311.0588</v>
      </c>
    </row>
    <row r="36" spans="2:13" ht="24">
      <c r="B36" s="82" t="s">
        <v>120</v>
      </c>
      <c r="C36" s="88">
        <v>72891</v>
      </c>
      <c r="D36" s="94" t="s">
        <v>74</v>
      </c>
      <c r="E36" s="78" t="s">
        <v>15</v>
      </c>
      <c r="F36" s="91">
        <v>402.26</v>
      </c>
      <c r="G36" s="79">
        <v>0.17</v>
      </c>
      <c r="H36" s="79">
        <f aca="true" t="shared" si="13" ref="H36:H42">G36*F36</f>
        <v>68.3842</v>
      </c>
      <c r="I36" s="79">
        <v>0</v>
      </c>
      <c r="J36" s="79">
        <f aca="true" t="shared" si="14" ref="J36:J42">I36*F36</f>
        <v>0</v>
      </c>
      <c r="K36" s="79">
        <v>4.31</v>
      </c>
      <c r="L36" s="80">
        <f aca="true" t="shared" si="15" ref="L36:L42">K36*F36</f>
        <v>1733.7405999999999</v>
      </c>
      <c r="M36" s="79">
        <f t="shared" si="12"/>
        <v>1802.1247999999998</v>
      </c>
    </row>
    <row r="37" spans="1:13" ht="12.75">
      <c r="A37" s="77"/>
      <c r="B37" s="82" t="s">
        <v>121</v>
      </c>
      <c r="C37" s="35" t="s">
        <v>115</v>
      </c>
      <c r="D37" s="76" t="s">
        <v>116</v>
      </c>
      <c r="E37" s="35" t="s">
        <v>117</v>
      </c>
      <c r="F37" s="36">
        <v>1025.76</v>
      </c>
      <c r="G37" s="37">
        <v>0.96</v>
      </c>
      <c r="H37" s="37">
        <f t="shared" si="13"/>
        <v>984.7296</v>
      </c>
      <c r="I37" s="37">
        <v>0</v>
      </c>
      <c r="J37" s="37">
        <f t="shared" si="14"/>
        <v>0</v>
      </c>
      <c r="K37" s="37">
        <v>23.11</v>
      </c>
      <c r="L37" s="38">
        <f t="shared" si="15"/>
        <v>23705.313599999998</v>
      </c>
      <c r="M37" s="37">
        <f t="shared" si="12"/>
        <v>24690.043199999996</v>
      </c>
    </row>
    <row r="38" spans="2:13" ht="12.75">
      <c r="B38" s="82" t="s">
        <v>122</v>
      </c>
      <c r="C38" s="35">
        <v>7011</v>
      </c>
      <c r="D38" s="34" t="s">
        <v>67</v>
      </c>
      <c r="E38" s="40" t="s">
        <v>34</v>
      </c>
      <c r="F38" s="51">
        <v>1823.3</v>
      </c>
      <c r="G38" s="41">
        <v>0.12</v>
      </c>
      <c r="H38" s="37">
        <f t="shared" si="13"/>
        <v>218.796</v>
      </c>
      <c r="I38" s="41">
        <v>0</v>
      </c>
      <c r="J38" s="37">
        <f t="shared" si="14"/>
        <v>0</v>
      </c>
      <c r="K38" s="41">
        <v>3</v>
      </c>
      <c r="L38" s="38">
        <f t="shared" si="15"/>
        <v>5469.9</v>
      </c>
      <c r="M38" s="37">
        <f t="shared" si="12"/>
        <v>5688.696</v>
      </c>
    </row>
    <row r="39" spans="2:13" ht="12.75">
      <c r="B39" s="82" t="s">
        <v>123</v>
      </c>
      <c r="C39" s="35" t="s">
        <v>57</v>
      </c>
      <c r="D39" s="34" t="s">
        <v>33</v>
      </c>
      <c r="E39" s="40" t="s">
        <v>34</v>
      </c>
      <c r="F39" s="51">
        <f>F38</f>
        <v>1823.3</v>
      </c>
      <c r="G39" s="41">
        <v>1.29</v>
      </c>
      <c r="H39" s="37">
        <f t="shared" si="13"/>
        <v>2352.057</v>
      </c>
      <c r="I39" s="41">
        <v>11.66</v>
      </c>
      <c r="J39" s="37">
        <f t="shared" si="14"/>
        <v>21259.678</v>
      </c>
      <c r="K39" s="41">
        <v>19.44</v>
      </c>
      <c r="L39" s="38">
        <f t="shared" si="15"/>
        <v>35444.952000000005</v>
      </c>
      <c r="M39" s="37">
        <f t="shared" si="12"/>
        <v>59056.687000000005</v>
      </c>
    </row>
    <row r="40" spans="2:13" ht="12.75">
      <c r="B40" s="82" t="s">
        <v>124</v>
      </c>
      <c r="C40" s="35" t="s">
        <v>59</v>
      </c>
      <c r="D40" s="34" t="s">
        <v>58</v>
      </c>
      <c r="E40" s="40" t="s">
        <v>12</v>
      </c>
      <c r="F40" s="51">
        <f>F39*0.27</f>
        <v>492.291</v>
      </c>
      <c r="G40" s="41">
        <v>0.24</v>
      </c>
      <c r="H40" s="37">
        <f t="shared" si="13"/>
        <v>118.14984</v>
      </c>
      <c r="I40" s="41">
        <v>2.21</v>
      </c>
      <c r="J40" s="37">
        <f t="shared" si="14"/>
        <v>1087.96311</v>
      </c>
      <c r="K40" s="41">
        <v>3.68</v>
      </c>
      <c r="L40" s="38">
        <f t="shared" si="15"/>
        <v>1811.6308800000002</v>
      </c>
      <c r="M40" s="37">
        <f t="shared" si="12"/>
        <v>3017.7438300000003</v>
      </c>
    </row>
    <row r="41" spans="2:13" ht="24">
      <c r="B41" s="82" t="s">
        <v>125</v>
      </c>
      <c r="C41" s="88">
        <v>72947</v>
      </c>
      <c r="D41" s="92" t="s">
        <v>104</v>
      </c>
      <c r="E41" s="78" t="s">
        <v>12</v>
      </c>
      <c r="F41" s="93">
        <f>(975.96*0.15)+(15*4*0.4)*10</f>
        <v>386.394</v>
      </c>
      <c r="G41" s="79">
        <v>0.67</v>
      </c>
      <c r="H41" s="79">
        <f t="shared" si="13"/>
        <v>258.88398</v>
      </c>
      <c r="I41" s="79">
        <v>6.11</v>
      </c>
      <c r="J41" s="79">
        <f t="shared" si="14"/>
        <v>2360.8673400000002</v>
      </c>
      <c r="K41" s="79">
        <v>10.19</v>
      </c>
      <c r="L41" s="80">
        <f t="shared" si="15"/>
        <v>3937.35486</v>
      </c>
      <c r="M41" s="79">
        <f t="shared" si="12"/>
        <v>6557.10618</v>
      </c>
    </row>
    <row r="42" spans="2:13" ht="13.5" thickBot="1">
      <c r="B42" s="82" t="s">
        <v>126</v>
      </c>
      <c r="C42" s="88" t="s">
        <v>66</v>
      </c>
      <c r="D42" s="39" t="s">
        <v>48</v>
      </c>
      <c r="E42" s="40" t="s">
        <v>12</v>
      </c>
      <c r="F42" s="81">
        <f>11*0.5</f>
        <v>5.5</v>
      </c>
      <c r="G42" s="41">
        <v>14.93</v>
      </c>
      <c r="H42" s="41">
        <f t="shared" si="13"/>
        <v>82.115</v>
      </c>
      <c r="I42" s="41">
        <v>134.38</v>
      </c>
      <c r="J42" s="41">
        <f t="shared" si="14"/>
        <v>739.0899999999999</v>
      </c>
      <c r="K42" s="41">
        <v>223.97</v>
      </c>
      <c r="L42" s="42">
        <f t="shared" si="15"/>
        <v>1231.835</v>
      </c>
      <c r="M42" s="41">
        <f t="shared" si="12"/>
        <v>2053.04</v>
      </c>
    </row>
    <row r="43" spans="2:13" s="13" customFormat="1" ht="13.5" thickBot="1">
      <c r="B43" s="43"/>
      <c r="C43" s="86"/>
      <c r="D43" s="44" t="s">
        <v>6</v>
      </c>
      <c r="E43" s="45"/>
      <c r="F43" s="46"/>
      <c r="G43" s="47"/>
      <c r="H43" s="47">
        <f>SUM(H10:H42)</f>
        <v>28358.55262</v>
      </c>
      <c r="I43" s="47"/>
      <c r="J43" s="47">
        <f>SUM(J10:J42)</f>
        <v>137284.56765</v>
      </c>
      <c r="K43" s="48"/>
      <c r="L43" s="47">
        <f>SUM(L10:L42)</f>
        <v>511920.9967400001</v>
      </c>
      <c r="M43" s="49">
        <f>H43+J43+L43</f>
        <v>677564.1170100002</v>
      </c>
    </row>
    <row r="44" spans="2:13" ht="12.75">
      <c r="B44" s="24"/>
      <c r="C44" s="53"/>
      <c r="D44" s="24"/>
      <c r="E44" s="24"/>
      <c r="F44" s="25"/>
      <c r="G44" s="26"/>
      <c r="H44" s="27"/>
      <c r="I44" s="26"/>
      <c r="J44" s="27"/>
      <c r="K44" s="26"/>
      <c r="L44" s="27"/>
      <c r="M44" s="26"/>
    </row>
    <row r="45" spans="2:13" s="13" customFormat="1" ht="12.75">
      <c r="B45" s="30" t="s">
        <v>16</v>
      </c>
      <c r="C45" s="30"/>
      <c r="D45" s="30" t="s">
        <v>177</v>
      </c>
      <c r="E45" s="30"/>
      <c r="F45" s="31"/>
      <c r="G45" s="32"/>
      <c r="H45" s="32"/>
      <c r="I45" s="32"/>
      <c r="J45" s="32"/>
      <c r="K45" s="32"/>
      <c r="L45" s="33"/>
      <c r="M45" s="32"/>
    </row>
    <row r="46" spans="1:13" ht="12.75">
      <c r="A46" s="77"/>
      <c r="B46" s="82" t="s">
        <v>17</v>
      </c>
      <c r="C46" s="35">
        <v>73610</v>
      </c>
      <c r="D46" s="34" t="s">
        <v>179</v>
      </c>
      <c r="E46" s="35" t="s">
        <v>12</v>
      </c>
      <c r="F46" s="36">
        <v>1538.95</v>
      </c>
      <c r="G46" s="37">
        <v>0.07</v>
      </c>
      <c r="H46" s="37">
        <f aca="true" t="shared" si="16" ref="H46:H53">G46*F46</f>
        <v>107.72650000000002</v>
      </c>
      <c r="I46" s="37">
        <v>0.66</v>
      </c>
      <c r="J46" s="37">
        <f aca="true" t="shared" si="17" ref="J46:J53">I46*F46</f>
        <v>1015.7070000000001</v>
      </c>
      <c r="K46" s="37">
        <v>1.1</v>
      </c>
      <c r="L46" s="38">
        <f aca="true" t="shared" si="18" ref="L46:L53">K46*F46</f>
        <v>1692.8450000000003</v>
      </c>
      <c r="M46" s="37">
        <f>L46+J46+H46</f>
        <v>2816.278500000001</v>
      </c>
    </row>
    <row r="47" spans="1:13" ht="12.75">
      <c r="A47" s="77"/>
      <c r="B47" s="82" t="s">
        <v>18</v>
      </c>
      <c r="C47" s="35">
        <v>72824</v>
      </c>
      <c r="D47" s="76" t="s">
        <v>50</v>
      </c>
      <c r="E47" s="35" t="s">
        <v>15</v>
      </c>
      <c r="F47" s="36">
        <v>607.99</v>
      </c>
      <c r="G47" s="37">
        <v>0.22</v>
      </c>
      <c r="H47" s="37">
        <f t="shared" si="16"/>
        <v>133.7578</v>
      </c>
      <c r="I47" s="37">
        <v>0</v>
      </c>
      <c r="J47" s="37">
        <f t="shared" si="17"/>
        <v>0</v>
      </c>
      <c r="K47" s="37">
        <v>5.32</v>
      </c>
      <c r="L47" s="38">
        <f t="shared" si="18"/>
        <v>3234.5068</v>
      </c>
      <c r="M47" s="37">
        <f aca="true" t="shared" si="19" ref="M47:M54">L47+J47+H47</f>
        <v>3368.2646</v>
      </c>
    </row>
    <row r="48" spans="1:13" ht="27" customHeight="1">
      <c r="A48" s="77"/>
      <c r="B48" s="82" t="s">
        <v>19</v>
      </c>
      <c r="C48" s="88" t="s">
        <v>96</v>
      </c>
      <c r="D48" s="99" t="s">
        <v>97</v>
      </c>
      <c r="E48" s="88" t="s">
        <v>15</v>
      </c>
      <c r="F48" s="100">
        <v>268.95</v>
      </c>
      <c r="G48" s="101">
        <v>0.19</v>
      </c>
      <c r="H48" s="101">
        <f t="shared" si="16"/>
        <v>51.1005</v>
      </c>
      <c r="I48" s="101">
        <v>0</v>
      </c>
      <c r="J48" s="101">
        <f t="shared" si="17"/>
        <v>0</v>
      </c>
      <c r="K48" s="101">
        <v>4.65</v>
      </c>
      <c r="L48" s="102">
        <f t="shared" si="18"/>
        <v>1250.6175</v>
      </c>
      <c r="M48" s="101">
        <f t="shared" si="19"/>
        <v>1301.718</v>
      </c>
    </row>
    <row r="49" spans="1:13" ht="12.75">
      <c r="A49" s="77"/>
      <c r="B49" s="82" t="s">
        <v>20</v>
      </c>
      <c r="C49" s="35" t="s">
        <v>105</v>
      </c>
      <c r="D49" s="76" t="s">
        <v>106</v>
      </c>
      <c r="E49" s="35" t="s">
        <v>15</v>
      </c>
      <c r="F49" s="36">
        <f>F48</f>
        <v>268.95</v>
      </c>
      <c r="G49" s="37">
        <v>0.03</v>
      </c>
      <c r="H49" s="37">
        <f t="shared" si="16"/>
        <v>8.0685</v>
      </c>
      <c r="I49" s="37">
        <v>0</v>
      </c>
      <c r="J49" s="37">
        <f t="shared" si="17"/>
        <v>0</v>
      </c>
      <c r="K49" s="37">
        <v>0.88</v>
      </c>
      <c r="L49" s="38">
        <f t="shared" si="18"/>
        <v>236.676</v>
      </c>
      <c r="M49" s="37">
        <f t="shared" si="19"/>
        <v>244.7445</v>
      </c>
    </row>
    <row r="50" spans="1:13" ht="12.75">
      <c r="A50" s="77"/>
      <c r="B50" s="82" t="s">
        <v>36</v>
      </c>
      <c r="C50" s="35" t="s">
        <v>52</v>
      </c>
      <c r="D50" s="34" t="s">
        <v>51</v>
      </c>
      <c r="E50" s="35" t="s">
        <v>15</v>
      </c>
      <c r="F50" s="36">
        <f>F47-F48</f>
        <v>339.04</v>
      </c>
      <c r="G50" s="37">
        <v>0.35</v>
      </c>
      <c r="H50" s="37">
        <f t="shared" si="16"/>
        <v>118.664</v>
      </c>
      <c r="I50" s="37">
        <v>0</v>
      </c>
      <c r="J50" s="37">
        <f t="shared" si="17"/>
        <v>0</v>
      </c>
      <c r="K50" s="37">
        <v>8.53</v>
      </c>
      <c r="L50" s="38">
        <f t="shared" si="18"/>
        <v>2892.0112</v>
      </c>
      <c r="M50" s="37">
        <f t="shared" si="19"/>
        <v>3010.6752</v>
      </c>
    </row>
    <row r="51" spans="2:13" ht="12.75">
      <c r="B51" s="82" t="s">
        <v>37</v>
      </c>
      <c r="C51" s="35" t="s">
        <v>53</v>
      </c>
      <c r="D51" s="34" t="s">
        <v>35</v>
      </c>
      <c r="E51" s="35" t="s">
        <v>15</v>
      </c>
      <c r="F51" s="36">
        <f>F50</f>
        <v>339.04</v>
      </c>
      <c r="G51" s="37">
        <v>0.1</v>
      </c>
      <c r="H51" s="37">
        <f t="shared" si="16"/>
        <v>33.904</v>
      </c>
      <c r="I51" s="37">
        <v>0</v>
      </c>
      <c r="J51" s="37">
        <f t="shared" si="17"/>
        <v>0</v>
      </c>
      <c r="K51" s="37">
        <v>2.47</v>
      </c>
      <c r="L51" s="38">
        <f t="shared" si="18"/>
        <v>837.4288000000001</v>
      </c>
      <c r="M51" s="37">
        <f t="shared" si="19"/>
        <v>871.3328000000001</v>
      </c>
    </row>
    <row r="52" spans="2:13" ht="24">
      <c r="B52" s="82" t="s">
        <v>38</v>
      </c>
      <c r="C52" s="88" t="s">
        <v>62</v>
      </c>
      <c r="D52" s="103" t="s">
        <v>61</v>
      </c>
      <c r="E52" s="88" t="s">
        <v>15</v>
      </c>
      <c r="F52" s="104">
        <f>F56*0.3</f>
        <v>12.87</v>
      </c>
      <c r="G52" s="101">
        <v>0.45</v>
      </c>
      <c r="H52" s="101">
        <f t="shared" si="16"/>
        <v>5.7915</v>
      </c>
      <c r="I52" s="101">
        <v>0</v>
      </c>
      <c r="J52" s="101">
        <f t="shared" si="17"/>
        <v>0</v>
      </c>
      <c r="K52" s="101">
        <v>10.96</v>
      </c>
      <c r="L52" s="102">
        <f t="shared" si="18"/>
        <v>141.0552</v>
      </c>
      <c r="M52" s="101">
        <f t="shared" si="19"/>
        <v>146.84670000000003</v>
      </c>
    </row>
    <row r="53" spans="2:13" ht="12.75">
      <c r="B53" s="82" t="s">
        <v>39</v>
      </c>
      <c r="C53" s="35" t="s">
        <v>64</v>
      </c>
      <c r="D53" s="34" t="s">
        <v>63</v>
      </c>
      <c r="E53" s="35" t="s">
        <v>15</v>
      </c>
      <c r="F53" s="105">
        <f>F56*0.2</f>
        <v>8.58</v>
      </c>
      <c r="G53" s="37">
        <v>0.59</v>
      </c>
      <c r="H53" s="37">
        <f t="shared" si="16"/>
        <v>5.0622</v>
      </c>
      <c r="I53" s="37">
        <v>0</v>
      </c>
      <c r="J53" s="37">
        <f t="shared" si="17"/>
        <v>0</v>
      </c>
      <c r="K53" s="37">
        <v>14.17</v>
      </c>
      <c r="L53" s="38">
        <f t="shared" si="18"/>
        <v>121.5786</v>
      </c>
      <c r="M53" s="37">
        <f t="shared" si="19"/>
        <v>126.6408</v>
      </c>
    </row>
    <row r="54" spans="2:13" ht="24">
      <c r="B54" s="82" t="s">
        <v>60</v>
      </c>
      <c r="C54" s="35" t="s">
        <v>54</v>
      </c>
      <c r="D54" s="92" t="s">
        <v>202</v>
      </c>
      <c r="E54" s="40" t="s">
        <v>15</v>
      </c>
      <c r="F54" s="105">
        <f>F52</f>
        <v>12.87</v>
      </c>
      <c r="G54" s="37">
        <v>2.81</v>
      </c>
      <c r="H54" s="37">
        <f aca="true" t="shared" si="20" ref="H54:H70">G54*F54</f>
        <v>36.164699999999996</v>
      </c>
      <c r="I54" s="37">
        <v>0</v>
      </c>
      <c r="J54" s="37">
        <f aca="true" t="shared" si="21" ref="J54:J70">I54*F54</f>
        <v>0</v>
      </c>
      <c r="K54" s="37">
        <v>67.48</v>
      </c>
      <c r="L54" s="38">
        <f aca="true" t="shared" si="22" ref="L54:L70">K54*F54</f>
        <v>868.4676</v>
      </c>
      <c r="M54" s="37">
        <f t="shared" si="19"/>
        <v>904.6323</v>
      </c>
    </row>
    <row r="55" spans="1:13" ht="12.75">
      <c r="A55" s="77"/>
      <c r="B55" s="82" t="s">
        <v>127</v>
      </c>
      <c r="C55" s="35" t="s">
        <v>107</v>
      </c>
      <c r="D55" s="76" t="s">
        <v>108</v>
      </c>
      <c r="E55" s="35" t="s">
        <v>15</v>
      </c>
      <c r="F55" s="36">
        <f>F54</f>
        <v>12.87</v>
      </c>
      <c r="G55" s="37">
        <v>0.03</v>
      </c>
      <c r="H55" s="37">
        <f t="shared" si="20"/>
        <v>0.38609999999999994</v>
      </c>
      <c r="I55" s="37">
        <v>0</v>
      </c>
      <c r="J55" s="37">
        <f t="shared" si="21"/>
        <v>0</v>
      </c>
      <c r="K55" s="37">
        <v>0.8</v>
      </c>
      <c r="L55" s="38">
        <f t="shared" si="22"/>
        <v>10.296</v>
      </c>
      <c r="M55" s="37">
        <f aca="true" t="shared" si="23" ref="M55:M77">L55+J55+H55</f>
        <v>10.6821</v>
      </c>
    </row>
    <row r="56" spans="2:13" ht="12.75">
      <c r="B56" s="82" t="s">
        <v>128</v>
      </c>
      <c r="C56" s="35">
        <v>72945</v>
      </c>
      <c r="D56" s="34" t="s">
        <v>98</v>
      </c>
      <c r="E56" s="40" t="s">
        <v>12</v>
      </c>
      <c r="F56" s="51">
        <v>42.9</v>
      </c>
      <c r="G56" s="41">
        <v>0.15</v>
      </c>
      <c r="H56" s="37">
        <f t="shared" si="20"/>
        <v>6.435</v>
      </c>
      <c r="I56" s="41">
        <v>1.38</v>
      </c>
      <c r="J56" s="37">
        <f t="shared" si="21"/>
        <v>59.20199999999999</v>
      </c>
      <c r="K56" s="41">
        <v>2.31</v>
      </c>
      <c r="L56" s="38">
        <f t="shared" si="22"/>
        <v>99.099</v>
      </c>
      <c r="M56" s="37">
        <f t="shared" si="23"/>
        <v>164.736</v>
      </c>
    </row>
    <row r="57" spans="1:13" ht="12.75">
      <c r="A57" s="77"/>
      <c r="B57" s="82" t="s">
        <v>129</v>
      </c>
      <c r="C57" s="35" t="s">
        <v>109</v>
      </c>
      <c r="D57" s="76" t="s">
        <v>110</v>
      </c>
      <c r="E57" s="35" t="s">
        <v>12</v>
      </c>
      <c r="F57" s="36">
        <f>F56</f>
        <v>42.9</v>
      </c>
      <c r="G57" s="37">
        <v>0.01</v>
      </c>
      <c r="H57" s="37">
        <f t="shared" si="20"/>
        <v>0.429</v>
      </c>
      <c r="I57" s="37">
        <v>0</v>
      </c>
      <c r="J57" s="37">
        <f t="shared" si="21"/>
        <v>0</v>
      </c>
      <c r="K57" s="37">
        <v>0.02</v>
      </c>
      <c r="L57" s="38">
        <f t="shared" si="22"/>
        <v>0.858</v>
      </c>
      <c r="M57" s="37">
        <f t="shared" si="23"/>
        <v>1.287</v>
      </c>
    </row>
    <row r="58" spans="2:13" ht="12.75">
      <c r="B58" s="82" t="s">
        <v>130</v>
      </c>
      <c r="C58" s="35" t="s">
        <v>65</v>
      </c>
      <c r="D58" s="106" t="s">
        <v>195</v>
      </c>
      <c r="E58" s="40" t="s">
        <v>15</v>
      </c>
      <c r="F58" s="51">
        <v>13.11</v>
      </c>
      <c r="G58" s="51">
        <v>2.96</v>
      </c>
      <c r="H58" s="41">
        <f t="shared" si="20"/>
        <v>38.8056</v>
      </c>
      <c r="I58" s="41">
        <v>26.66</v>
      </c>
      <c r="J58" s="41">
        <f t="shared" si="21"/>
        <v>349.51259999999996</v>
      </c>
      <c r="K58" s="41">
        <v>44.43</v>
      </c>
      <c r="L58" s="42">
        <f t="shared" si="22"/>
        <v>582.4773</v>
      </c>
      <c r="M58" s="41">
        <f t="shared" si="23"/>
        <v>970.7955000000001</v>
      </c>
    </row>
    <row r="59" spans="2:13" ht="12.75">
      <c r="B59" s="82" t="s">
        <v>131</v>
      </c>
      <c r="C59" s="35">
        <v>72961</v>
      </c>
      <c r="D59" s="39" t="s">
        <v>32</v>
      </c>
      <c r="E59" s="40" t="s">
        <v>12</v>
      </c>
      <c r="F59" s="36">
        <v>1538.85</v>
      </c>
      <c r="G59" s="41">
        <v>0.07</v>
      </c>
      <c r="H59" s="37">
        <f t="shared" si="20"/>
        <v>107.71950000000001</v>
      </c>
      <c r="I59" s="41">
        <v>0</v>
      </c>
      <c r="J59" s="37">
        <f t="shared" si="21"/>
        <v>0</v>
      </c>
      <c r="K59" s="41">
        <v>1.91</v>
      </c>
      <c r="L59" s="38">
        <f t="shared" si="22"/>
        <v>2939.2034999999996</v>
      </c>
      <c r="M59" s="37">
        <f t="shared" si="23"/>
        <v>3046.923</v>
      </c>
    </row>
    <row r="60" spans="1:13" ht="12.75">
      <c r="A60" s="77"/>
      <c r="B60" s="82" t="s">
        <v>132</v>
      </c>
      <c r="C60" s="35" t="s">
        <v>111</v>
      </c>
      <c r="D60" s="76" t="s">
        <v>112</v>
      </c>
      <c r="E60" s="35" t="s">
        <v>12</v>
      </c>
      <c r="F60" s="36">
        <f>F59</f>
        <v>1538.85</v>
      </c>
      <c r="G60" s="37">
        <v>0.01</v>
      </c>
      <c r="H60" s="37">
        <f t="shared" si="20"/>
        <v>15.388499999999999</v>
      </c>
      <c r="I60" s="37">
        <v>0</v>
      </c>
      <c r="J60" s="37">
        <f t="shared" si="21"/>
        <v>0</v>
      </c>
      <c r="K60" s="37">
        <v>0.41</v>
      </c>
      <c r="L60" s="38">
        <f t="shared" si="22"/>
        <v>630.9284999999999</v>
      </c>
      <c r="M60" s="37">
        <f t="shared" si="23"/>
        <v>646.3169999999999</v>
      </c>
    </row>
    <row r="61" spans="2:13" ht="24">
      <c r="B61" s="82" t="s">
        <v>133</v>
      </c>
      <c r="C61" s="35" t="s">
        <v>54</v>
      </c>
      <c r="D61" s="92" t="s">
        <v>203</v>
      </c>
      <c r="E61" s="40" t="s">
        <v>15</v>
      </c>
      <c r="F61" s="51">
        <v>200.06</v>
      </c>
      <c r="G61" s="37">
        <v>2.81</v>
      </c>
      <c r="H61" s="37">
        <f t="shared" si="20"/>
        <v>562.1686</v>
      </c>
      <c r="I61" s="37">
        <v>0</v>
      </c>
      <c r="J61" s="37">
        <f t="shared" si="21"/>
        <v>0</v>
      </c>
      <c r="K61" s="37">
        <v>67.48</v>
      </c>
      <c r="L61" s="38">
        <f t="shared" si="22"/>
        <v>13500.0488</v>
      </c>
      <c r="M61" s="37">
        <f t="shared" si="23"/>
        <v>14062.217400000001</v>
      </c>
    </row>
    <row r="62" spans="2:13" ht="24">
      <c r="B62" s="82" t="s">
        <v>134</v>
      </c>
      <c r="C62" s="35">
        <v>73710</v>
      </c>
      <c r="D62" s="110" t="s">
        <v>204</v>
      </c>
      <c r="E62" s="40" t="s">
        <v>15</v>
      </c>
      <c r="F62" s="51">
        <v>172.35</v>
      </c>
      <c r="G62" s="41">
        <v>4.33</v>
      </c>
      <c r="H62" s="37">
        <f t="shared" si="20"/>
        <v>746.2755</v>
      </c>
      <c r="I62" s="41">
        <v>0</v>
      </c>
      <c r="J62" s="37">
        <f t="shared" si="21"/>
        <v>0</v>
      </c>
      <c r="K62" s="41">
        <v>64.99</v>
      </c>
      <c r="L62" s="38">
        <f t="shared" si="22"/>
        <v>11201.026499999998</v>
      </c>
      <c r="M62" s="37">
        <f t="shared" si="23"/>
        <v>11947.301999999998</v>
      </c>
    </row>
    <row r="63" spans="1:13" ht="12.75">
      <c r="A63" s="77"/>
      <c r="B63" s="82" t="s">
        <v>135</v>
      </c>
      <c r="C63" s="35" t="s">
        <v>107</v>
      </c>
      <c r="D63" s="76" t="s">
        <v>113</v>
      </c>
      <c r="E63" s="35" t="s">
        <v>15</v>
      </c>
      <c r="F63" s="36">
        <f>F62</f>
        <v>172.35</v>
      </c>
      <c r="G63" s="37">
        <v>0.03</v>
      </c>
      <c r="H63" s="37">
        <f t="shared" si="20"/>
        <v>5.1705</v>
      </c>
      <c r="I63" s="37">
        <v>0</v>
      </c>
      <c r="J63" s="37">
        <f t="shared" si="21"/>
        <v>0</v>
      </c>
      <c r="K63" s="37">
        <v>0.8</v>
      </c>
      <c r="L63" s="38">
        <f t="shared" si="22"/>
        <v>137.88</v>
      </c>
      <c r="M63" s="37">
        <f t="shared" si="23"/>
        <v>143.0505</v>
      </c>
    </row>
    <row r="64" spans="2:13" ht="12.75">
      <c r="B64" s="82" t="s">
        <v>136</v>
      </c>
      <c r="C64" s="35">
        <v>72945</v>
      </c>
      <c r="D64" s="34" t="s">
        <v>55</v>
      </c>
      <c r="E64" s="40" t="s">
        <v>12</v>
      </c>
      <c r="F64" s="51">
        <v>1436.26</v>
      </c>
      <c r="G64" s="41">
        <v>0.15</v>
      </c>
      <c r="H64" s="37">
        <f t="shared" si="20"/>
        <v>215.439</v>
      </c>
      <c r="I64" s="41">
        <v>1.38</v>
      </c>
      <c r="J64" s="37">
        <f t="shared" si="21"/>
        <v>1982.0387999999998</v>
      </c>
      <c r="K64" s="41">
        <v>2.31</v>
      </c>
      <c r="L64" s="38">
        <f t="shared" si="22"/>
        <v>3317.7606</v>
      </c>
      <c r="M64" s="37">
        <f t="shared" si="23"/>
        <v>5515.2384</v>
      </c>
    </row>
    <row r="65" spans="1:13" ht="12.75">
      <c r="A65" s="77"/>
      <c r="B65" s="82" t="s">
        <v>137</v>
      </c>
      <c r="C65" s="35" t="s">
        <v>109</v>
      </c>
      <c r="D65" s="76" t="s">
        <v>110</v>
      </c>
      <c r="E65" s="35" t="s">
        <v>12</v>
      </c>
      <c r="F65" s="36">
        <f>F64</f>
        <v>1436.26</v>
      </c>
      <c r="G65" s="37">
        <v>0.01</v>
      </c>
      <c r="H65" s="37">
        <f t="shared" si="20"/>
        <v>14.3626</v>
      </c>
      <c r="I65" s="37">
        <v>0</v>
      </c>
      <c r="J65" s="37">
        <f t="shared" si="21"/>
        <v>0</v>
      </c>
      <c r="K65" s="37">
        <v>0.02</v>
      </c>
      <c r="L65" s="38">
        <f t="shared" si="22"/>
        <v>28.7252</v>
      </c>
      <c r="M65" s="37">
        <f t="shared" si="23"/>
        <v>43.0878</v>
      </c>
    </row>
    <row r="66" spans="2:13" ht="12.75">
      <c r="B66" s="82" t="s">
        <v>138</v>
      </c>
      <c r="C66" s="35">
        <v>72943</v>
      </c>
      <c r="D66" s="34" t="s">
        <v>56</v>
      </c>
      <c r="E66" s="40" t="s">
        <v>12</v>
      </c>
      <c r="F66" s="51">
        <f>F64</f>
        <v>1436.26</v>
      </c>
      <c r="G66" s="41">
        <v>0.06</v>
      </c>
      <c r="H66" s="37">
        <f t="shared" si="20"/>
        <v>86.1756</v>
      </c>
      <c r="I66" s="41">
        <v>0.54</v>
      </c>
      <c r="J66" s="37">
        <f t="shared" si="21"/>
        <v>775.5804</v>
      </c>
      <c r="K66" s="41">
        <v>0.9</v>
      </c>
      <c r="L66" s="38">
        <f t="shared" si="22"/>
        <v>1292.634</v>
      </c>
      <c r="M66" s="37">
        <f t="shared" si="23"/>
        <v>2154.39</v>
      </c>
    </row>
    <row r="67" spans="1:13" ht="12.75">
      <c r="A67" s="77"/>
      <c r="B67" s="82" t="s">
        <v>139</v>
      </c>
      <c r="C67" s="35">
        <v>74259</v>
      </c>
      <c r="D67" s="76" t="s">
        <v>114</v>
      </c>
      <c r="E67" s="35" t="s">
        <v>12</v>
      </c>
      <c r="F67" s="36">
        <f>F66</f>
        <v>1436.26</v>
      </c>
      <c r="G67" s="37">
        <v>0.01</v>
      </c>
      <c r="H67" s="37">
        <f t="shared" si="20"/>
        <v>14.3626</v>
      </c>
      <c r="I67" s="37">
        <v>0</v>
      </c>
      <c r="J67" s="37">
        <f t="shared" si="21"/>
        <v>0</v>
      </c>
      <c r="K67" s="37">
        <v>0.01</v>
      </c>
      <c r="L67" s="38">
        <f t="shared" si="22"/>
        <v>14.3626</v>
      </c>
      <c r="M67" s="37">
        <f t="shared" si="23"/>
        <v>28.7252</v>
      </c>
    </row>
    <row r="68" spans="2:13" ht="24">
      <c r="B68" s="82" t="s">
        <v>140</v>
      </c>
      <c r="C68" s="88">
        <v>72965</v>
      </c>
      <c r="D68" s="94" t="s">
        <v>205</v>
      </c>
      <c r="E68" s="78" t="s">
        <v>15</v>
      </c>
      <c r="F68" s="91">
        <f>F66*0.05</f>
        <v>71.813</v>
      </c>
      <c r="G68" s="79">
        <v>24.59</v>
      </c>
      <c r="H68" s="79">
        <f t="shared" si="20"/>
        <v>1765.88167</v>
      </c>
      <c r="I68" s="79">
        <v>221.33</v>
      </c>
      <c r="J68" s="79">
        <f t="shared" si="21"/>
        <v>15894.371290000001</v>
      </c>
      <c r="K68" s="79">
        <v>368.89</v>
      </c>
      <c r="L68" s="80">
        <f t="shared" si="22"/>
        <v>26491.097569999998</v>
      </c>
      <c r="M68" s="79">
        <f t="shared" si="23"/>
        <v>44151.35053</v>
      </c>
    </row>
    <row r="69" spans="2:13" ht="12.75">
      <c r="B69" s="82" t="s">
        <v>141</v>
      </c>
      <c r="C69" s="35">
        <v>72887</v>
      </c>
      <c r="D69" s="39" t="s">
        <v>183</v>
      </c>
      <c r="E69" s="40" t="s">
        <v>73</v>
      </c>
      <c r="F69" s="51">
        <f>F68*70</f>
        <v>5026.91</v>
      </c>
      <c r="G69" s="37">
        <v>0.03</v>
      </c>
      <c r="H69" s="37">
        <f t="shared" si="20"/>
        <v>150.8073</v>
      </c>
      <c r="I69" s="37">
        <v>0</v>
      </c>
      <c r="J69" s="37">
        <f t="shared" si="21"/>
        <v>0</v>
      </c>
      <c r="K69" s="37">
        <v>0.82</v>
      </c>
      <c r="L69" s="38">
        <f t="shared" si="22"/>
        <v>4122.066199999999</v>
      </c>
      <c r="M69" s="37">
        <f>L69+J69+H69</f>
        <v>4272.8735</v>
      </c>
    </row>
    <row r="70" spans="2:13" ht="12.75">
      <c r="B70" s="82" t="s">
        <v>142</v>
      </c>
      <c r="C70" s="35">
        <v>72886</v>
      </c>
      <c r="D70" s="39" t="s">
        <v>184</v>
      </c>
      <c r="E70" s="40" t="s">
        <v>73</v>
      </c>
      <c r="F70" s="51">
        <f>F68*69</f>
        <v>4955.097</v>
      </c>
      <c r="G70" s="37">
        <v>0.04</v>
      </c>
      <c r="H70" s="37">
        <f t="shared" si="20"/>
        <v>198.20388</v>
      </c>
      <c r="I70" s="37">
        <v>0</v>
      </c>
      <c r="J70" s="37">
        <f t="shared" si="21"/>
        <v>0</v>
      </c>
      <c r="K70" s="37">
        <v>0.98</v>
      </c>
      <c r="L70" s="38">
        <f t="shared" si="22"/>
        <v>4855.995059999999</v>
      </c>
      <c r="M70" s="37">
        <f t="shared" si="23"/>
        <v>5054.198939999999</v>
      </c>
    </row>
    <row r="71" spans="2:13" ht="24">
      <c r="B71" s="82" t="s">
        <v>143</v>
      </c>
      <c r="C71" s="88">
        <v>72891</v>
      </c>
      <c r="D71" s="94" t="s">
        <v>74</v>
      </c>
      <c r="E71" s="78" t="s">
        <v>15</v>
      </c>
      <c r="F71" s="91">
        <f>F68</f>
        <v>71.813</v>
      </c>
      <c r="G71" s="79">
        <v>0.17</v>
      </c>
      <c r="H71" s="79">
        <f aca="true" t="shared" si="24" ref="H71:H77">G71*F71</f>
        <v>12.208210000000001</v>
      </c>
      <c r="I71" s="79">
        <v>0</v>
      </c>
      <c r="J71" s="79">
        <f aca="true" t="shared" si="25" ref="J71:J77">I71*F71</f>
        <v>0</v>
      </c>
      <c r="K71" s="79">
        <v>4.31</v>
      </c>
      <c r="L71" s="80">
        <f aca="true" t="shared" si="26" ref="L71:L77">K71*F71</f>
        <v>309.51403</v>
      </c>
      <c r="M71" s="79">
        <f t="shared" si="23"/>
        <v>321.72224</v>
      </c>
    </row>
    <row r="72" spans="1:13" ht="12.75">
      <c r="A72" s="77"/>
      <c r="B72" s="82" t="s">
        <v>144</v>
      </c>
      <c r="C72" s="35" t="s">
        <v>115</v>
      </c>
      <c r="D72" s="76" t="s">
        <v>116</v>
      </c>
      <c r="E72" s="35" t="s">
        <v>117</v>
      </c>
      <c r="F72" s="36">
        <f>F68*2.55</f>
        <v>183.12314999999998</v>
      </c>
      <c r="G72" s="37">
        <v>0.96</v>
      </c>
      <c r="H72" s="37">
        <f t="shared" si="24"/>
        <v>175.79822399999998</v>
      </c>
      <c r="I72" s="37">
        <v>0</v>
      </c>
      <c r="J72" s="37">
        <f t="shared" si="25"/>
        <v>0</v>
      </c>
      <c r="K72" s="37">
        <v>23.11</v>
      </c>
      <c r="L72" s="38">
        <f t="shared" si="26"/>
        <v>4231.975996499999</v>
      </c>
      <c r="M72" s="37">
        <f t="shared" si="23"/>
        <v>4407.7742204999995</v>
      </c>
    </row>
    <row r="73" spans="2:13" ht="12.75">
      <c r="B73" s="82" t="s">
        <v>145</v>
      </c>
      <c r="C73" s="35">
        <v>7011</v>
      </c>
      <c r="D73" s="34" t="s">
        <v>67</v>
      </c>
      <c r="E73" s="40" t="s">
        <v>34</v>
      </c>
      <c r="F73" s="51">
        <v>426</v>
      </c>
      <c r="G73" s="41">
        <v>0.12</v>
      </c>
      <c r="H73" s="37">
        <f t="shared" si="24"/>
        <v>51.12</v>
      </c>
      <c r="I73" s="41">
        <v>0</v>
      </c>
      <c r="J73" s="37">
        <f t="shared" si="25"/>
        <v>0</v>
      </c>
      <c r="K73" s="41">
        <v>3</v>
      </c>
      <c r="L73" s="38">
        <f t="shared" si="26"/>
        <v>1278</v>
      </c>
      <c r="M73" s="37">
        <f t="shared" si="23"/>
        <v>1329.12</v>
      </c>
    </row>
    <row r="74" spans="2:13" ht="12.75">
      <c r="B74" s="82" t="s">
        <v>146</v>
      </c>
      <c r="C74" s="35" t="s">
        <v>57</v>
      </c>
      <c r="D74" s="34" t="s">
        <v>33</v>
      </c>
      <c r="E74" s="40" t="s">
        <v>34</v>
      </c>
      <c r="F74" s="51">
        <f>F73</f>
        <v>426</v>
      </c>
      <c r="G74" s="41">
        <v>1.29</v>
      </c>
      <c r="H74" s="37">
        <f t="shared" si="24"/>
        <v>549.54</v>
      </c>
      <c r="I74" s="41">
        <v>11.66</v>
      </c>
      <c r="J74" s="37">
        <f t="shared" si="25"/>
        <v>4967.16</v>
      </c>
      <c r="K74" s="41">
        <v>19.44</v>
      </c>
      <c r="L74" s="38">
        <f t="shared" si="26"/>
        <v>8281.44</v>
      </c>
      <c r="M74" s="37">
        <f t="shared" si="23"/>
        <v>13798.14</v>
      </c>
    </row>
    <row r="75" spans="2:13" ht="12.75">
      <c r="B75" s="82" t="s">
        <v>147</v>
      </c>
      <c r="C75" s="35" t="s">
        <v>59</v>
      </c>
      <c r="D75" s="34" t="s">
        <v>58</v>
      </c>
      <c r="E75" s="40" t="s">
        <v>12</v>
      </c>
      <c r="F75" s="51">
        <f>F74*0.27</f>
        <v>115.02000000000001</v>
      </c>
      <c r="G75" s="41">
        <v>0.24</v>
      </c>
      <c r="H75" s="37">
        <f t="shared" si="24"/>
        <v>27.6048</v>
      </c>
      <c r="I75" s="41">
        <v>2.21</v>
      </c>
      <c r="J75" s="37">
        <f t="shared" si="25"/>
        <v>254.19420000000002</v>
      </c>
      <c r="K75" s="41">
        <v>3.68</v>
      </c>
      <c r="L75" s="38">
        <f t="shared" si="26"/>
        <v>423.27360000000004</v>
      </c>
      <c r="M75" s="37">
        <f t="shared" si="23"/>
        <v>705.0726000000001</v>
      </c>
    </row>
    <row r="76" spans="2:13" ht="24">
      <c r="B76" s="82" t="s">
        <v>148</v>
      </c>
      <c r="C76" s="88">
        <v>72947</v>
      </c>
      <c r="D76" s="92" t="s">
        <v>104</v>
      </c>
      <c r="E76" s="78" t="s">
        <v>12</v>
      </c>
      <c r="F76" s="93">
        <f>(245.21*0.15)+(4*0.4*15)*2</f>
        <v>84.7815</v>
      </c>
      <c r="G76" s="79">
        <v>0.67</v>
      </c>
      <c r="H76" s="79">
        <f t="shared" si="24"/>
        <v>56.803605</v>
      </c>
      <c r="I76" s="79">
        <v>6.11</v>
      </c>
      <c r="J76" s="79">
        <f t="shared" si="25"/>
        <v>518.014965</v>
      </c>
      <c r="K76" s="79">
        <v>10.19</v>
      </c>
      <c r="L76" s="80">
        <f t="shared" si="26"/>
        <v>863.9234849999999</v>
      </c>
      <c r="M76" s="79">
        <f t="shared" si="23"/>
        <v>1438.742055</v>
      </c>
    </row>
    <row r="77" spans="2:13" ht="13.5" thickBot="1">
      <c r="B77" s="82" t="s">
        <v>149</v>
      </c>
      <c r="C77" s="88" t="s">
        <v>66</v>
      </c>
      <c r="D77" s="39" t="s">
        <v>48</v>
      </c>
      <c r="E77" s="40" t="s">
        <v>12</v>
      </c>
      <c r="F77" s="81">
        <f>3*0.5</f>
        <v>1.5</v>
      </c>
      <c r="G77" s="41">
        <v>14.93</v>
      </c>
      <c r="H77" s="41">
        <f t="shared" si="24"/>
        <v>22.395</v>
      </c>
      <c r="I77" s="41">
        <v>134.38</v>
      </c>
      <c r="J77" s="41">
        <f t="shared" si="25"/>
        <v>201.57</v>
      </c>
      <c r="K77" s="41">
        <v>223.97</v>
      </c>
      <c r="L77" s="42">
        <f t="shared" si="26"/>
        <v>335.955</v>
      </c>
      <c r="M77" s="41">
        <f t="shared" si="23"/>
        <v>559.92</v>
      </c>
    </row>
    <row r="78" spans="2:13" s="13" customFormat="1" ht="13.5" thickBot="1">
      <c r="B78" s="43"/>
      <c r="C78" s="86"/>
      <c r="D78" s="44" t="s">
        <v>6</v>
      </c>
      <c r="E78" s="45"/>
      <c r="F78" s="46"/>
      <c r="G78" s="47"/>
      <c r="H78" s="47">
        <f>SUM(H46:H77)</f>
        <v>5323.720489</v>
      </c>
      <c r="I78" s="47"/>
      <c r="J78" s="47">
        <f>SUM(J46:J77)</f>
        <v>26017.351255</v>
      </c>
      <c r="K78" s="48"/>
      <c r="L78" s="47">
        <f>SUM(L46:L77)</f>
        <v>96223.72764150001</v>
      </c>
      <c r="M78" s="49">
        <f>H78+J78+L78</f>
        <v>127564.79938550001</v>
      </c>
    </row>
    <row r="79" spans="2:13" ht="12.75">
      <c r="B79" s="24"/>
      <c r="C79" s="53"/>
      <c r="D79" s="24"/>
      <c r="E79" s="24"/>
      <c r="F79" s="25"/>
      <c r="G79" s="26"/>
      <c r="H79" s="27"/>
      <c r="I79" s="26"/>
      <c r="J79" s="27"/>
      <c r="K79" s="26"/>
      <c r="L79" s="27"/>
      <c r="M79" s="26"/>
    </row>
    <row r="80" spans="2:13" s="13" customFormat="1" ht="12.75">
      <c r="B80" s="30" t="s">
        <v>21</v>
      </c>
      <c r="C80" s="30"/>
      <c r="D80" s="30" t="s">
        <v>187</v>
      </c>
      <c r="E80" s="30"/>
      <c r="F80" s="31"/>
      <c r="G80" s="32"/>
      <c r="H80" s="32"/>
      <c r="I80" s="32"/>
      <c r="J80" s="32"/>
      <c r="K80" s="32"/>
      <c r="L80" s="33"/>
      <c r="M80" s="32"/>
    </row>
    <row r="81" spans="1:13" ht="12.75">
      <c r="A81" s="77"/>
      <c r="B81" s="82" t="s">
        <v>22</v>
      </c>
      <c r="C81" s="35">
        <v>73610</v>
      </c>
      <c r="D81" s="34" t="s">
        <v>179</v>
      </c>
      <c r="E81" s="35" t="s">
        <v>12</v>
      </c>
      <c r="F81" s="36">
        <v>4512.38</v>
      </c>
      <c r="G81" s="37">
        <v>0.07</v>
      </c>
      <c r="H81" s="37">
        <f>G81*F81</f>
        <v>315.86660000000006</v>
      </c>
      <c r="I81" s="37">
        <v>0.66</v>
      </c>
      <c r="J81" s="37">
        <f>I81*F81</f>
        <v>2978.1708000000003</v>
      </c>
      <c r="K81" s="37">
        <v>1.1</v>
      </c>
      <c r="L81" s="38">
        <f>K81*F81</f>
        <v>4963.618</v>
      </c>
      <c r="M81" s="37">
        <f>L81+J81+H81</f>
        <v>8257.6554</v>
      </c>
    </row>
    <row r="82" spans="1:13" ht="12.75">
      <c r="A82" s="77"/>
      <c r="B82" s="82" t="s">
        <v>40</v>
      </c>
      <c r="C82" s="35">
        <v>72824</v>
      </c>
      <c r="D82" s="76" t="s">
        <v>50</v>
      </c>
      <c r="E82" s="35" t="s">
        <v>15</v>
      </c>
      <c r="F82" s="36">
        <v>1230.7</v>
      </c>
      <c r="G82" s="37">
        <v>0.22</v>
      </c>
      <c r="H82" s="37">
        <f>G82*F82</f>
        <v>270.754</v>
      </c>
      <c r="I82" s="37">
        <v>0</v>
      </c>
      <c r="J82" s="37">
        <f>I82*F82</f>
        <v>0</v>
      </c>
      <c r="K82" s="37">
        <v>5.32</v>
      </c>
      <c r="L82" s="38">
        <f>K82*F82</f>
        <v>6547.3240000000005</v>
      </c>
      <c r="M82" s="37">
        <f aca="true" t="shared" si="27" ref="M82:M118">L82+J82+H82</f>
        <v>6818.078</v>
      </c>
    </row>
    <row r="83" spans="1:13" ht="12.75">
      <c r="A83" s="77"/>
      <c r="B83" s="82" t="s">
        <v>41</v>
      </c>
      <c r="C83" s="35" t="s">
        <v>190</v>
      </c>
      <c r="D83" s="76" t="s">
        <v>189</v>
      </c>
      <c r="E83" s="35" t="s">
        <v>15</v>
      </c>
      <c r="F83" s="36">
        <v>228.56</v>
      </c>
      <c r="G83" s="37">
        <v>1.12</v>
      </c>
      <c r="H83" s="101">
        <f aca="true" t="shared" si="28" ref="H83:H89">G83*F83</f>
        <v>255.98720000000003</v>
      </c>
      <c r="I83" s="37">
        <v>0</v>
      </c>
      <c r="J83" s="101">
        <f aca="true" t="shared" si="29" ref="J83:J89">I83*F83</f>
        <v>0</v>
      </c>
      <c r="K83" s="37">
        <v>26.9</v>
      </c>
      <c r="L83" s="102">
        <f aca="true" t="shared" si="30" ref="L83:L89">K83*F83</f>
        <v>6148.264</v>
      </c>
      <c r="M83" s="37">
        <f>L83+J83+H83</f>
        <v>6404.251200000001</v>
      </c>
    </row>
    <row r="84" spans="1:13" ht="27" customHeight="1">
      <c r="A84" s="77"/>
      <c r="B84" s="82" t="s">
        <v>42</v>
      </c>
      <c r="C84" s="88" t="s">
        <v>96</v>
      </c>
      <c r="D84" s="99" t="s">
        <v>97</v>
      </c>
      <c r="E84" s="88" t="s">
        <v>15</v>
      </c>
      <c r="F84" s="100">
        <v>228.56</v>
      </c>
      <c r="G84" s="101">
        <v>0.19</v>
      </c>
      <c r="H84" s="101">
        <f t="shared" si="28"/>
        <v>43.4264</v>
      </c>
      <c r="I84" s="101">
        <v>0</v>
      </c>
      <c r="J84" s="101">
        <f t="shared" si="29"/>
        <v>0</v>
      </c>
      <c r="K84" s="101">
        <v>4.65</v>
      </c>
      <c r="L84" s="102">
        <f t="shared" si="30"/>
        <v>1062.804</v>
      </c>
      <c r="M84" s="101">
        <f t="shared" si="27"/>
        <v>1106.2304000000001</v>
      </c>
    </row>
    <row r="85" spans="1:13" ht="12.75">
      <c r="A85" s="77"/>
      <c r="B85" s="82" t="s">
        <v>43</v>
      </c>
      <c r="C85" s="35" t="s">
        <v>105</v>
      </c>
      <c r="D85" s="76" t="s">
        <v>106</v>
      </c>
      <c r="E85" s="35" t="s">
        <v>15</v>
      </c>
      <c r="F85" s="36">
        <f>F84</f>
        <v>228.56</v>
      </c>
      <c r="G85" s="37">
        <v>0.03</v>
      </c>
      <c r="H85" s="37">
        <f t="shared" si="28"/>
        <v>6.8568</v>
      </c>
      <c r="I85" s="37">
        <v>0</v>
      </c>
      <c r="J85" s="37">
        <f t="shared" si="29"/>
        <v>0</v>
      </c>
      <c r="K85" s="37">
        <v>0.88</v>
      </c>
      <c r="L85" s="38">
        <f t="shared" si="30"/>
        <v>201.1328</v>
      </c>
      <c r="M85" s="37">
        <f t="shared" si="27"/>
        <v>207.9896</v>
      </c>
    </row>
    <row r="86" spans="1:13" ht="12.75">
      <c r="A86" s="77"/>
      <c r="B86" s="82" t="s">
        <v>44</v>
      </c>
      <c r="C86" s="35" t="s">
        <v>52</v>
      </c>
      <c r="D86" s="34" t="s">
        <v>51</v>
      </c>
      <c r="E86" s="35" t="s">
        <v>15</v>
      </c>
      <c r="F86" s="36">
        <f>F82+F83-F84</f>
        <v>1230.7</v>
      </c>
      <c r="G86" s="37">
        <v>0.35</v>
      </c>
      <c r="H86" s="37">
        <f t="shared" si="28"/>
        <v>430.745</v>
      </c>
      <c r="I86" s="37">
        <v>0</v>
      </c>
      <c r="J86" s="37">
        <f t="shared" si="29"/>
        <v>0</v>
      </c>
      <c r="K86" s="37">
        <v>8.53</v>
      </c>
      <c r="L86" s="38">
        <f t="shared" si="30"/>
        <v>10497.871</v>
      </c>
      <c r="M86" s="37">
        <f t="shared" si="27"/>
        <v>10928.616</v>
      </c>
    </row>
    <row r="87" spans="2:13" ht="12.75">
      <c r="B87" s="82" t="s">
        <v>150</v>
      </c>
      <c r="C87" s="35" t="s">
        <v>53</v>
      </c>
      <c r="D87" s="34" t="s">
        <v>35</v>
      </c>
      <c r="E87" s="35" t="s">
        <v>15</v>
      </c>
      <c r="F87" s="36">
        <f>F86</f>
        <v>1230.7</v>
      </c>
      <c r="G87" s="37">
        <v>0.1</v>
      </c>
      <c r="H87" s="37">
        <f t="shared" si="28"/>
        <v>123.07000000000001</v>
      </c>
      <c r="I87" s="37">
        <v>0</v>
      </c>
      <c r="J87" s="37">
        <f t="shared" si="29"/>
        <v>0</v>
      </c>
      <c r="K87" s="37">
        <v>2.47</v>
      </c>
      <c r="L87" s="38">
        <f t="shared" si="30"/>
        <v>3039.829</v>
      </c>
      <c r="M87" s="37">
        <f t="shared" si="27"/>
        <v>3162.8990000000003</v>
      </c>
    </row>
    <row r="88" spans="2:13" ht="24">
      <c r="B88" s="82" t="s">
        <v>151</v>
      </c>
      <c r="C88" s="88" t="s">
        <v>62</v>
      </c>
      <c r="D88" s="103" t="s">
        <v>61</v>
      </c>
      <c r="E88" s="88" t="s">
        <v>15</v>
      </c>
      <c r="F88" s="104">
        <f>F93*0.3</f>
        <v>76.707</v>
      </c>
      <c r="G88" s="101">
        <v>0.45</v>
      </c>
      <c r="H88" s="101">
        <f t="shared" si="28"/>
        <v>34.51815</v>
      </c>
      <c r="I88" s="101">
        <v>0</v>
      </c>
      <c r="J88" s="101">
        <f t="shared" si="29"/>
        <v>0</v>
      </c>
      <c r="K88" s="101">
        <v>10.96</v>
      </c>
      <c r="L88" s="102">
        <f t="shared" si="30"/>
        <v>840.70872</v>
      </c>
      <c r="M88" s="101">
        <f t="shared" si="27"/>
        <v>875.22687</v>
      </c>
    </row>
    <row r="89" spans="2:13" ht="12.75">
      <c r="B89" s="82" t="s">
        <v>152</v>
      </c>
      <c r="C89" s="35" t="s">
        <v>64</v>
      </c>
      <c r="D89" s="34" t="s">
        <v>63</v>
      </c>
      <c r="E89" s="35" t="s">
        <v>15</v>
      </c>
      <c r="F89" s="105">
        <f>F93*0.2</f>
        <v>51.138000000000005</v>
      </c>
      <c r="G89" s="37">
        <v>0.59</v>
      </c>
      <c r="H89" s="37">
        <f t="shared" si="28"/>
        <v>30.17142</v>
      </c>
      <c r="I89" s="37">
        <v>0</v>
      </c>
      <c r="J89" s="37">
        <f t="shared" si="29"/>
        <v>0</v>
      </c>
      <c r="K89" s="37">
        <v>14.17</v>
      </c>
      <c r="L89" s="38">
        <f t="shared" si="30"/>
        <v>724.6254600000001</v>
      </c>
      <c r="M89" s="37">
        <f t="shared" si="27"/>
        <v>754.7968800000001</v>
      </c>
    </row>
    <row r="90" spans="2:13" ht="24">
      <c r="B90" s="82" t="s">
        <v>153</v>
      </c>
      <c r="C90" s="35" t="s">
        <v>54</v>
      </c>
      <c r="D90" s="92" t="s">
        <v>202</v>
      </c>
      <c r="E90" s="40" t="s">
        <v>15</v>
      </c>
      <c r="F90" s="105">
        <f>F88</f>
        <v>76.707</v>
      </c>
      <c r="G90" s="37">
        <v>2.81</v>
      </c>
      <c r="H90" s="37">
        <f aca="true" t="shared" si="31" ref="H90:H111">G90*F90</f>
        <v>215.54666999999998</v>
      </c>
      <c r="I90" s="37">
        <v>0</v>
      </c>
      <c r="J90" s="37">
        <f aca="true" t="shared" si="32" ref="J90:J111">I90*F90</f>
        <v>0</v>
      </c>
      <c r="K90" s="37">
        <v>67.48</v>
      </c>
      <c r="L90" s="38">
        <f aca="true" t="shared" si="33" ref="L90:L111">K90*F90</f>
        <v>5176.18836</v>
      </c>
      <c r="M90" s="37">
        <f t="shared" si="27"/>
        <v>5391.73503</v>
      </c>
    </row>
    <row r="91" spans="2:13" ht="12.75">
      <c r="B91" s="82" t="s">
        <v>154</v>
      </c>
      <c r="C91" s="35">
        <v>72886</v>
      </c>
      <c r="D91" s="39" t="s">
        <v>192</v>
      </c>
      <c r="E91" s="40" t="s">
        <v>73</v>
      </c>
      <c r="F91" s="51">
        <f>F90*30</f>
        <v>2301.21</v>
      </c>
      <c r="G91" s="37">
        <v>0</v>
      </c>
      <c r="H91" s="37">
        <f t="shared" si="31"/>
        <v>0</v>
      </c>
      <c r="I91" s="37">
        <v>0</v>
      </c>
      <c r="J91" s="37">
        <f t="shared" si="32"/>
        <v>0</v>
      </c>
      <c r="K91" s="37">
        <v>0</v>
      </c>
      <c r="L91" s="38">
        <f t="shared" si="33"/>
        <v>0</v>
      </c>
      <c r="M91" s="37">
        <f t="shared" si="27"/>
        <v>0</v>
      </c>
    </row>
    <row r="92" spans="1:13" ht="12.75">
      <c r="A92" s="77"/>
      <c r="B92" s="82" t="s">
        <v>155</v>
      </c>
      <c r="C92" s="35" t="s">
        <v>107</v>
      </c>
      <c r="D92" s="76" t="s">
        <v>108</v>
      </c>
      <c r="E92" s="35" t="s">
        <v>15</v>
      </c>
      <c r="F92" s="36">
        <f>F90</f>
        <v>76.707</v>
      </c>
      <c r="G92" s="37">
        <v>0.03</v>
      </c>
      <c r="H92" s="37">
        <f t="shared" si="31"/>
        <v>2.3012099999999998</v>
      </c>
      <c r="I92" s="37">
        <v>0</v>
      </c>
      <c r="J92" s="37">
        <f t="shared" si="32"/>
        <v>0</v>
      </c>
      <c r="K92" s="37">
        <v>0.8</v>
      </c>
      <c r="L92" s="38">
        <f t="shared" si="33"/>
        <v>61.3656</v>
      </c>
      <c r="M92" s="37">
        <f t="shared" si="27"/>
        <v>63.66681</v>
      </c>
    </row>
    <row r="93" spans="2:13" ht="12.75">
      <c r="B93" s="82" t="s">
        <v>156</v>
      </c>
      <c r="C93" s="35">
        <v>72945</v>
      </c>
      <c r="D93" s="34" t="s">
        <v>98</v>
      </c>
      <c r="E93" s="40" t="s">
        <v>12</v>
      </c>
      <c r="F93" s="51">
        <v>255.69</v>
      </c>
      <c r="G93" s="41">
        <v>0.15</v>
      </c>
      <c r="H93" s="37">
        <f t="shared" si="31"/>
        <v>38.3535</v>
      </c>
      <c r="I93" s="41">
        <v>1.38</v>
      </c>
      <c r="J93" s="37">
        <f t="shared" si="32"/>
        <v>352.8522</v>
      </c>
      <c r="K93" s="41">
        <v>2.31</v>
      </c>
      <c r="L93" s="38">
        <f t="shared" si="33"/>
        <v>590.6439</v>
      </c>
      <c r="M93" s="37">
        <f t="shared" si="27"/>
        <v>981.8496</v>
      </c>
    </row>
    <row r="94" spans="1:13" ht="12.75">
      <c r="A94" s="77"/>
      <c r="B94" s="82" t="s">
        <v>157</v>
      </c>
      <c r="C94" s="35" t="s">
        <v>109</v>
      </c>
      <c r="D94" s="76" t="s">
        <v>110</v>
      </c>
      <c r="E94" s="35" t="s">
        <v>12</v>
      </c>
      <c r="F94" s="36">
        <f>F93</f>
        <v>255.69</v>
      </c>
      <c r="G94" s="37">
        <v>0.01</v>
      </c>
      <c r="H94" s="37">
        <f t="shared" si="31"/>
        <v>2.5569</v>
      </c>
      <c r="I94" s="37">
        <v>0</v>
      </c>
      <c r="J94" s="37">
        <f t="shared" si="32"/>
        <v>0</v>
      </c>
      <c r="K94" s="37">
        <v>0.02</v>
      </c>
      <c r="L94" s="38">
        <f t="shared" si="33"/>
        <v>5.1138</v>
      </c>
      <c r="M94" s="37">
        <f t="shared" si="27"/>
        <v>7.6707</v>
      </c>
    </row>
    <row r="95" spans="2:13" ht="12.75">
      <c r="B95" s="82" t="s">
        <v>158</v>
      </c>
      <c r="C95" s="35" t="s">
        <v>65</v>
      </c>
      <c r="D95" s="106" t="s">
        <v>195</v>
      </c>
      <c r="E95" s="40" t="s">
        <v>15</v>
      </c>
      <c r="F95" s="51">
        <v>33.57</v>
      </c>
      <c r="G95" s="51">
        <v>2.96</v>
      </c>
      <c r="H95" s="41">
        <f t="shared" si="31"/>
        <v>99.3672</v>
      </c>
      <c r="I95" s="41">
        <v>26.66</v>
      </c>
      <c r="J95" s="41">
        <f t="shared" si="32"/>
        <v>894.9762000000001</v>
      </c>
      <c r="K95" s="41">
        <v>44.43</v>
      </c>
      <c r="L95" s="42">
        <f t="shared" si="33"/>
        <v>1491.5151</v>
      </c>
      <c r="M95" s="41">
        <f t="shared" si="27"/>
        <v>2485.8585000000003</v>
      </c>
    </row>
    <row r="96" spans="2:13" ht="12.75">
      <c r="B96" s="82" t="s">
        <v>159</v>
      </c>
      <c r="C96" s="35">
        <v>72961</v>
      </c>
      <c r="D96" s="39" t="s">
        <v>32</v>
      </c>
      <c r="E96" s="40" t="s">
        <v>12</v>
      </c>
      <c r="F96" s="36">
        <v>4512.38</v>
      </c>
      <c r="G96" s="41">
        <v>0.07</v>
      </c>
      <c r="H96" s="37">
        <f t="shared" si="31"/>
        <v>315.86660000000006</v>
      </c>
      <c r="I96" s="41">
        <v>0</v>
      </c>
      <c r="J96" s="37">
        <f t="shared" si="32"/>
        <v>0</v>
      </c>
      <c r="K96" s="41">
        <v>1.91</v>
      </c>
      <c r="L96" s="38">
        <f t="shared" si="33"/>
        <v>8618.6458</v>
      </c>
      <c r="M96" s="37">
        <f t="shared" si="27"/>
        <v>8934.5124</v>
      </c>
    </row>
    <row r="97" spans="1:13" ht="12.75">
      <c r="A97" s="77"/>
      <c r="B97" s="82" t="s">
        <v>160</v>
      </c>
      <c r="C97" s="35" t="s">
        <v>111</v>
      </c>
      <c r="D97" s="76" t="s">
        <v>112</v>
      </c>
      <c r="E97" s="35" t="s">
        <v>12</v>
      </c>
      <c r="F97" s="36">
        <f>F96</f>
        <v>4512.38</v>
      </c>
      <c r="G97" s="37">
        <v>0.01</v>
      </c>
      <c r="H97" s="37">
        <f t="shared" si="31"/>
        <v>45.1238</v>
      </c>
      <c r="I97" s="37">
        <v>0</v>
      </c>
      <c r="J97" s="37">
        <f t="shared" si="32"/>
        <v>0</v>
      </c>
      <c r="K97" s="37">
        <v>0.41</v>
      </c>
      <c r="L97" s="38">
        <f t="shared" si="33"/>
        <v>1850.0757999999998</v>
      </c>
      <c r="M97" s="37">
        <f t="shared" si="27"/>
        <v>1895.1996</v>
      </c>
    </row>
    <row r="98" spans="2:13" ht="24">
      <c r="B98" s="82" t="s">
        <v>161</v>
      </c>
      <c r="C98" s="35" t="s">
        <v>54</v>
      </c>
      <c r="D98" s="92" t="s">
        <v>203</v>
      </c>
      <c r="E98" s="40" t="s">
        <v>15</v>
      </c>
      <c r="F98" s="51">
        <v>555.4</v>
      </c>
      <c r="G98" s="37">
        <v>2.81</v>
      </c>
      <c r="H98" s="37">
        <f t="shared" si="31"/>
        <v>1560.674</v>
      </c>
      <c r="I98" s="37">
        <v>0</v>
      </c>
      <c r="J98" s="37">
        <f t="shared" si="32"/>
        <v>0</v>
      </c>
      <c r="K98" s="37">
        <v>67.48</v>
      </c>
      <c r="L98" s="38">
        <f t="shared" si="33"/>
        <v>37478.392</v>
      </c>
      <c r="M98" s="37">
        <f t="shared" si="27"/>
        <v>39039.066</v>
      </c>
    </row>
    <row r="99" spans="2:13" ht="12.75">
      <c r="B99" s="82" t="s">
        <v>162</v>
      </c>
      <c r="C99" s="35">
        <v>72886</v>
      </c>
      <c r="D99" s="39" t="s">
        <v>192</v>
      </c>
      <c r="E99" s="40" t="s">
        <v>73</v>
      </c>
      <c r="F99" s="51">
        <f>F98*30</f>
        <v>16662</v>
      </c>
      <c r="G99" s="37">
        <v>0.04</v>
      </c>
      <c r="H99" s="37">
        <f>G99*F99</f>
        <v>666.48</v>
      </c>
      <c r="I99" s="37">
        <v>0</v>
      </c>
      <c r="J99" s="37">
        <f>I99*F99</f>
        <v>0</v>
      </c>
      <c r="K99" s="37">
        <v>0.98</v>
      </c>
      <c r="L99" s="38">
        <f>K99*F99</f>
        <v>16328.76</v>
      </c>
      <c r="M99" s="37">
        <f>L99+J99+H99</f>
        <v>16995.24</v>
      </c>
    </row>
    <row r="100" spans="1:13" ht="12.75">
      <c r="A100" s="77"/>
      <c r="B100" s="82" t="s">
        <v>163</v>
      </c>
      <c r="C100" s="35" t="s">
        <v>107</v>
      </c>
      <c r="D100" s="76" t="s">
        <v>108</v>
      </c>
      <c r="E100" s="35" t="s">
        <v>15</v>
      </c>
      <c r="F100" s="36">
        <f>F98</f>
        <v>555.4</v>
      </c>
      <c r="G100" s="37">
        <v>0.03</v>
      </c>
      <c r="H100" s="37">
        <f t="shared" si="31"/>
        <v>16.662</v>
      </c>
      <c r="I100" s="37">
        <v>0</v>
      </c>
      <c r="J100" s="37">
        <f t="shared" si="32"/>
        <v>0</v>
      </c>
      <c r="K100" s="37">
        <v>0.8</v>
      </c>
      <c r="L100" s="38">
        <f t="shared" si="33"/>
        <v>444.32</v>
      </c>
      <c r="M100" s="37">
        <f t="shared" si="27"/>
        <v>460.98199999999997</v>
      </c>
    </row>
    <row r="101" spans="2:13" ht="24">
      <c r="B101" s="82" t="s">
        <v>164</v>
      </c>
      <c r="C101" s="35">
        <v>73710</v>
      </c>
      <c r="D101" s="110" t="s">
        <v>204</v>
      </c>
      <c r="E101" s="40" t="s">
        <v>15</v>
      </c>
      <c r="F101" s="51">
        <v>512.68</v>
      </c>
      <c r="G101" s="41">
        <v>4.33</v>
      </c>
      <c r="H101" s="37">
        <f t="shared" si="31"/>
        <v>2219.9044</v>
      </c>
      <c r="I101" s="41">
        <v>0</v>
      </c>
      <c r="J101" s="37">
        <f t="shared" si="32"/>
        <v>0</v>
      </c>
      <c r="K101" s="41">
        <v>64.99</v>
      </c>
      <c r="L101" s="38">
        <f t="shared" si="33"/>
        <v>33319.07319999999</v>
      </c>
      <c r="M101" s="37">
        <f t="shared" si="27"/>
        <v>35538.97759999999</v>
      </c>
    </row>
    <row r="102" spans="2:13" ht="12.75">
      <c r="B102" s="82" t="s">
        <v>165</v>
      </c>
      <c r="C102" s="35">
        <v>72887</v>
      </c>
      <c r="D102" s="39" t="s">
        <v>181</v>
      </c>
      <c r="E102" s="40" t="s">
        <v>73</v>
      </c>
      <c r="F102" s="51">
        <v>0</v>
      </c>
      <c r="G102" s="37">
        <v>0</v>
      </c>
      <c r="H102" s="37">
        <f t="shared" si="31"/>
        <v>0</v>
      </c>
      <c r="I102" s="37">
        <v>0</v>
      </c>
      <c r="J102" s="37">
        <f t="shared" si="32"/>
        <v>0</v>
      </c>
      <c r="K102" s="37">
        <v>0</v>
      </c>
      <c r="L102" s="38">
        <f t="shared" si="33"/>
        <v>0</v>
      </c>
      <c r="M102" s="37">
        <f t="shared" si="27"/>
        <v>0</v>
      </c>
    </row>
    <row r="103" spans="2:13" ht="12.75">
      <c r="B103" s="82" t="s">
        <v>166</v>
      </c>
      <c r="C103" s="35">
        <v>72886</v>
      </c>
      <c r="D103" s="39" t="s">
        <v>182</v>
      </c>
      <c r="E103" s="40" t="s">
        <v>73</v>
      </c>
      <c r="F103" s="51">
        <v>0</v>
      </c>
      <c r="G103" s="37">
        <v>0</v>
      </c>
      <c r="H103" s="37">
        <f t="shared" si="31"/>
        <v>0</v>
      </c>
      <c r="I103" s="37">
        <v>0</v>
      </c>
      <c r="J103" s="37">
        <f t="shared" si="32"/>
        <v>0</v>
      </c>
      <c r="K103" s="37">
        <v>0</v>
      </c>
      <c r="L103" s="38">
        <f t="shared" si="33"/>
        <v>0</v>
      </c>
      <c r="M103" s="37">
        <f t="shared" si="27"/>
        <v>0</v>
      </c>
    </row>
    <row r="104" spans="1:13" ht="12.75">
      <c r="A104" s="77"/>
      <c r="B104" s="82" t="s">
        <v>167</v>
      </c>
      <c r="C104" s="35" t="s">
        <v>107</v>
      </c>
      <c r="D104" s="76" t="s">
        <v>113</v>
      </c>
      <c r="E104" s="35" t="s">
        <v>15</v>
      </c>
      <c r="F104" s="36">
        <f>F101</f>
        <v>512.68</v>
      </c>
      <c r="G104" s="37">
        <v>0.03</v>
      </c>
      <c r="H104" s="37">
        <f t="shared" si="31"/>
        <v>15.380399999999998</v>
      </c>
      <c r="I104" s="37">
        <v>0</v>
      </c>
      <c r="J104" s="37">
        <f t="shared" si="32"/>
        <v>0</v>
      </c>
      <c r="K104" s="37">
        <v>0.8</v>
      </c>
      <c r="L104" s="38">
        <f t="shared" si="33"/>
        <v>410.144</v>
      </c>
      <c r="M104" s="37">
        <f t="shared" si="27"/>
        <v>425.5244</v>
      </c>
    </row>
    <row r="105" spans="2:13" ht="12.75">
      <c r="B105" s="82" t="s">
        <v>168</v>
      </c>
      <c r="C105" s="35">
        <v>72945</v>
      </c>
      <c r="D105" s="34" t="s">
        <v>55</v>
      </c>
      <c r="E105" s="40" t="s">
        <v>12</v>
      </c>
      <c r="F105" s="51">
        <v>4272.38</v>
      </c>
      <c r="G105" s="41">
        <v>0.15</v>
      </c>
      <c r="H105" s="37">
        <f t="shared" si="31"/>
        <v>640.857</v>
      </c>
      <c r="I105" s="41">
        <v>1.38</v>
      </c>
      <c r="J105" s="37">
        <f t="shared" si="32"/>
        <v>5895.8844</v>
      </c>
      <c r="K105" s="41">
        <v>2.31</v>
      </c>
      <c r="L105" s="38">
        <f t="shared" si="33"/>
        <v>9869.1978</v>
      </c>
      <c r="M105" s="37">
        <f t="shared" si="27"/>
        <v>16405.9392</v>
      </c>
    </row>
    <row r="106" spans="1:13" ht="12.75">
      <c r="A106" s="77"/>
      <c r="B106" s="82" t="s">
        <v>169</v>
      </c>
      <c r="C106" s="35" t="s">
        <v>109</v>
      </c>
      <c r="D106" s="76" t="s">
        <v>110</v>
      </c>
      <c r="E106" s="35" t="s">
        <v>12</v>
      </c>
      <c r="F106" s="36">
        <f>F105</f>
        <v>4272.38</v>
      </c>
      <c r="G106" s="37">
        <v>0.01</v>
      </c>
      <c r="H106" s="37">
        <f t="shared" si="31"/>
        <v>42.723800000000004</v>
      </c>
      <c r="I106" s="37">
        <v>0</v>
      </c>
      <c r="J106" s="37">
        <f t="shared" si="32"/>
        <v>0</v>
      </c>
      <c r="K106" s="37">
        <v>0.02</v>
      </c>
      <c r="L106" s="38">
        <f t="shared" si="33"/>
        <v>85.44760000000001</v>
      </c>
      <c r="M106" s="37">
        <f t="shared" si="27"/>
        <v>128.1714</v>
      </c>
    </row>
    <row r="107" spans="2:13" ht="12.75">
      <c r="B107" s="82" t="s">
        <v>170</v>
      </c>
      <c r="C107" s="35">
        <v>72943</v>
      </c>
      <c r="D107" s="34" t="s">
        <v>56</v>
      </c>
      <c r="E107" s="40" t="s">
        <v>12</v>
      </c>
      <c r="F107" s="51">
        <f>F105</f>
        <v>4272.38</v>
      </c>
      <c r="G107" s="41">
        <v>0.06</v>
      </c>
      <c r="H107" s="37">
        <f t="shared" si="31"/>
        <v>256.3428</v>
      </c>
      <c r="I107" s="41">
        <v>0.54</v>
      </c>
      <c r="J107" s="37">
        <f t="shared" si="32"/>
        <v>2307.0852</v>
      </c>
      <c r="K107" s="41">
        <v>0.9</v>
      </c>
      <c r="L107" s="38">
        <f t="shared" si="33"/>
        <v>3845.1420000000003</v>
      </c>
      <c r="M107" s="37">
        <f t="shared" si="27"/>
        <v>6408.570000000001</v>
      </c>
    </row>
    <row r="108" spans="1:13" ht="12.75">
      <c r="A108" s="77"/>
      <c r="B108" s="82" t="s">
        <v>171</v>
      </c>
      <c r="C108" s="35">
        <v>74259</v>
      </c>
      <c r="D108" s="76" t="s">
        <v>114</v>
      </c>
      <c r="E108" s="35" t="s">
        <v>12</v>
      </c>
      <c r="F108" s="36">
        <f>F107</f>
        <v>4272.38</v>
      </c>
      <c r="G108" s="37">
        <v>0.01</v>
      </c>
      <c r="H108" s="37">
        <f t="shared" si="31"/>
        <v>42.723800000000004</v>
      </c>
      <c r="I108" s="37">
        <v>0</v>
      </c>
      <c r="J108" s="37">
        <f t="shared" si="32"/>
        <v>0</v>
      </c>
      <c r="K108" s="37">
        <v>0.01</v>
      </c>
      <c r="L108" s="38">
        <f t="shared" si="33"/>
        <v>42.723800000000004</v>
      </c>
      <c r="M108" s="37">
        <f t="shared" si="27"/>
        <v>85.44760000000001</v>
      </c>
    </row>
    <row r="109" spans="2:13" ht="24">
      <c r="B109" s="82" t="s">
        <v>172</v>
      </c>
      <c r="C109" s="88">
        <v>72965</v>
      </c>
      <c r="D109" s="94" t="s">
        <v>205</v>
      </c>
      <c r="E109" s="78" t="s">
        <v>15</v>
      </c>
      <c r="F109" s="91">
        <f>F107*0.05</f>
        <v>213.61900000000003</v>
      </c>
      <c r="G109" s="79">
        <v>24.59</v>
      </c>
      <c r="H109" s="79">
        <f t="shared" si="31"/>
        <v>5252.891210000001</v>
      </c>
      <c r="I109" s="79">
        <v>221.33</v>
      </c>
      <c r="J109" s="79">
        <f t="shared" si="32"/>
        <v>47280.29327000001</v>
      </c>
      <c r="K109" s="79">
        <v>368.89</v>
      </c>
      <c r="L109" s="80">
        <f t="shared" si="33"/>
        <v>78801.91291000001</v>
      </c>
      <c r="M109" s="79">
        <f t="shared" si="27"/>
        <v>131335.09739</v>
      </c>
    </row>
    <row r="110" spans="2:13" ht="12.75">
      <c r="B110" s="82" t="s">
        <v>173</v>
      </c>
      <c r="C110" s="35">
        <v>72887</v>
      </c>
      <c r="D110" s="39" t="s">
        <v>183</v>
      </c>
      <c r="E110" s="40" t="s">
        <v>73</v>
      </c>
      <c r="F110" s="51">
        <f>F109*70</f>
        <v>14953.330000000002</v>
      </c>
      <c r="G110" s="37">
        <v>0.03</v>
      </c>
      <c r="H110" s="37">
        <f t="shared" si="31"/>
        <v>448.59990000000005</v>
      </c>
      <c r="I110" s="37">
        <v>0</v>
      </c>
      <c r="J110" s="37">
        <f t="shared" si="32"/>
        <v>0</v>
      </c>
      <c r="K110" s="37">
        <v>0.82</v>
      </c>
      <c r="L110" s="38">
        <f t="shared" si="33"/>
        <v>12261.7306</v>
      </c>
      <c r="M110" s="37">
        <f>L110+J110+H110</f>
        <v>12710.3305</v>
      </c>
    </row>
    <row r="111" spans="2:13" ht="12.75">
      <c r="B111" s="82" t="s">
        <v>174</v>
      </c>
      <c r="C111" s="35">
        <v>72886</v>
      </c>
      <c r="D111" s="39" t="s">
        <v>184</v>
      </c>
      <c r="E111" s="40" t="s">
        <v>73</v>
      </c>
      <c r="F111" s="51">
        <f>F109*69</f>
        <v>14739.711000000001</v>
      </c>
      <c r="G111" s="37">
        <v>0.04</v>
      </c>
      <c r="H111" s="37">
        <f t="shared" si="31"/>
        <v>589.5884400000001</v>
      </c>
      <c r="I111" s="37">
        <v>0</v>
      </c>
      <c r="J111" s="37">
        <f t="shared" si="32"/>
        <v>0</v>
      </c>
      <c r="K111" s="37">
        <v>0.98</v>
      </c>
      <c r="L111" s="38">
        <f t="shared" si="33"/>
        <v>14444.916780000001</v>
      </c>
      <c r="M111" s="37">
        <f t="shared" si="27"/>
        <v>15034.505220000001</v>
      </c>
    </row>
    <row r="112" spans="2:13" ht="24">
      <c r="B112" s="82" t="s">
        <v>175</v>
      </c>
      <c r="C112" s="88">
        <v>72891</v>
      </c>
      <c r="D112" s="103" t="s">
        <v>74</v>
      </c>
      <c r="E112" s="78" t="s">
        <v>15</v>
      </c>
      <c r="F112" s="91">
        <f>F109</f>
        <v>213.61900000000003</v>
      </c>
      <c r="G112" s="79">
        <v>0.17</v>
      </c>
      <c r="H112" s="79">
        <f aca="true" t="shared" si="34" ref="H112:H118">G112*F112</f>
        <v>36.31523000000001</v>
      </c>
      <c r="I112" s="79">
        <v>0</v>
      </c>
      <c r="J112" s="79">
        <f aca="true" t="shared" si="35" ref="J112:J118">I112*F112</f>
        <v>0</v>
      </c>
      <c r="K112" s="79">
        <v>4.31</v>
      </c>
      <c r="L112" s="80">
        <f aca="true" t="shared" si="36" ref="L112:L118">K112*F112</f>
        <v>920.69789</v>
      </c>
      <c r="M112" s="79">
        <f t="shared" si="27"/>
        <v>957.0131200000001</v>
      </c>
    </row>
    <row r="113" spans="1:13" ht="12.75">
      <c r="A113" s="77"/>
      <c r="B113" s="82" t="s">
        <v>176</v>
      </c>
      <c r="C113" s="35" t="s">
        <v>115</v>
      </c>
      <c r="D113" s="76" t="s">
        <v>116</v>
      </c>
      <c r="E113" s="35" t="s">
        <v>117</v>
      </c>
      <c r="F113" s="36">
        <f>F109*2.55</f>
        <v>544.7284500000001</v>
      </c>
      <c r="G113" s="37">
        <v>0.96</v>
      </c>
      <c r="H113" s="37">
        <f t="shared" si="34"/>
        <v>522.9393120000001</v>
      </c>
      <c r="I113" s="37">
        <v>0</v>
      </c>
      <c r="J113" s="37">
        <f t="shared" si="35"/>
        <v>0</v>
      </c>
      <c r="K113" s="37">
        <v>23.11</v>
      </c>
      <c r="L113" s="38">
        <f t="shared" si="36"/>
        <v>12588.674479500001</v>
      </c>
      <c r="M113" s="37">
        <f t="shared" si="27"/>
        <v>13111.613791500002</v>
      </c>
    </row>
    <row r="114" spans="2:13" ht="12.75">
      <c r="B114" s="82" t="s">
        <v>180</v>
      </c>
      <c r="C114" s="35">
        <v>7011</v>
      </c>
      <c r="D114" s="34" t="s">
        <v>67</v>
      </c>
      <c r="E114" s="40" t="s">
        <v>34</v>
      </c>
      <c r="F114" s="51">
        <v>1032.2</v>
      </c>
      <c r="G114" s="41">
        <v>0.12</v>
      </c>
      <c r="H114" s="37">
        <f t="shared" si="34"/>
        <v>123.864</v>
      </c>
      <c r="I114" s="41">
        <v>0</v>
      </c>
      <c r="J114" s="37">
        <f t="shared" si="35"/>
        <v>0</v>
      </c>
      <c r="K114" s="41">
        <v>3</v>
      </c>
      <c r="L114" s="38">
        <f t="shared" si="36"/>
        <v>3096.6000000000004</v>
      </c>
      <c r="M114" s="37">
        <f t="shared" si="27"/>
        <v>3220.4640000000004</v>
      </c>
    </row>
    <row r="115" spans="2:13" ht="12.75">
      <c r="B115" s="82" t="s">
        <v>185</v>
      </c>
      <c r="C115" s="35" t="s">
        <v>57</v>
      </c>
      <c r="D115" s="34" t="s">
        <v>33</v>
      </c>
      <c r="E115" s="40" t="s">
        <v>34</v>
      </c>
      <c r="F115" s="51">
        <f>F114</f>
        <v>1032.2</v>
      </c>
      <c r="G115" s="41">
        <v>1.29</v>
      </c>
      <c r="H115" s="37">
        <f t="shared" si="34"/>
        <v>1331.538</v>
      </c>
      <c r="I115" s="41">
        <v>11.66</v>
      </c>
      <c r="J115" s="37">
        <f t="shared" si="35"/>
        <v>12035.452000000001</v>
      </c>
      <c r="K115" s="41">
        <v>19.44</v>
      </c>
      <c r="L115" s="38">
        <f t="shared" si="36"/>
        <v>20065.968</v>
      </c>
      <c r="M115" s="37">
        <f t="shared" si="27"/>
        <v>33432.958</v>
      </c>
    </row>
    <row r="116" spans="2:13" ht="12.75">
      <c r="B116" s="82" t="s">
        <v>191</v>
      </c>
      <c r="C116" s="35" t="s">
        <v>59</v>
      </c>
      <c r="D116" s="34" t="s">
        <v>58</v>
      </c>
      <c r="E116" s="40" t="s">
        <v>12</v>
      </c>
      <c r="F116" s="51">
        <f>F115*0.27</f>
        <v>278.694</v>
      </c>
      <c r="G116" s="41">
        <v>0.24</v>
      </c>
      <c r="H116" s="37">
        <f t="shared" si="34"/>
        <v>66.88656</v>
      </c>
      <c r="I116" s="41">
        <v>2.21</v>
      </c>
      <c r="J116" s="37">
        <f t="shared" si="35"/>
        <v>615.9137400000001</v>
      </c>
      <c r="K116" s="41">
        <v>3.68</v>
      </c>
      <c r="L116" s="38">
        <f t="shared" si="36"/>
        <v>1025.59392</v>
      </c>
      <c r="M116" s="37">
        <f t="shared" si="27"/>
        <v>1708.3942200000001</v>
      </c>
    </row>
    <row r="117" spans="2:13" ht="24">
      <c r="B117" s="82" t="s">
        <v>193</v>
      </c>
      <c r="C117" s="88">
        <v>72947</v>
      </c>
      <c r="D117" s="92" t="s">
        <v>104</v>
      </c>
      <c r="E117" s="78" t="s">
        <v>12</v>
      </c>
      <c r="F117" s="93">
        <f>(579.69*0.15)+(4*0.4*15)*5</f>
        <v>206.95350000000002</v>
      </c>
      <c r="G117" s="79">
        <v>0.67</v>
      </c>
      <c r="H117" s="79">
        <f t="shared" si="34"/>
        <v>138.658845</v>
      </c>
      <c r="I117" s="79">
        <v>6.11</v>
      </c>
      <c r="J117" s="79">
        <f t="shared" si="35"/>
        <v>1264.4858850000003</v>
      </c>
      <c r="K117" s="79">
        <v>10.19</v>
      </c>
      <c r="L117" s="80">
        <f t="shared" si="36"/>
        <v>2108.856165</v>
      </c>
      <c r="M117" s="79">
        <f t="shared" si="27"/>
        <v>3512.000895</v>
      </c>
    </row>
    <row r="118" spans="2:13" ht="13.5" thickBot="1">
      <c r="B118" s="82" t="s">
        <v>194</v>
      </c>
      <c r="C118" s="88" t="s">
        <v>66</v>
      </c>
      <c r="D118" s="39" t="s">
        <v>48</v>
      </c>
      <c r="E118" s="40" t="s">
        <v>12</v>
      </c>
      <c r="F118" s="81">
        <f>10*0.5</f>
        <v>5</v>
      </c>
      <c r="G118" s="41">
        <v>14.93</v>
      </c>
      <c r="H118" s="41">
        <f t="shared" si="34"/>
        <v>74.65</v>
      </c>
      <c r="I118" s="41">
        <v>134.38</v>
      </c>
      <c r="J118" s="41">
        <f t="shared" si="35"/>
        <v>671.9</v>
      </c>
      <c r="K118" s="41">
        <v>223.97</v>
      </c>
      <c r="L118" s="42">
        <f t="shared" si="36"/>
        <v>1119.85</v>
      </c>
      <c r="M118" s="41">
        <f t="shared" si="27"/>
        <v>1866.4</v>
      </c>
    </row>
    <row r="119" spans="2:13" s="13" customFormat="1" ht="13.5" thickBot="1">
      <c r="B119" s="43"/>
      <c r="C119" s="86"/>
      <c r="D119" s="44" t="s">
        <v>6</v>
      </c>
      <c r="E119" s="45"/>
      <c r="F119" s="46"/>
      <c r="G119" s="47"/>
      <c r="H119" s="47">
        <f>SUM(H81:H118)</f>
        <v>16278.191147000001</v>
      </c>
      <c r="I119" s="47"/>
      <c r="J119" s="47">
        <f>SUM(J81:J118)</f>
        <v>74297.01369500002</v>
      </c>
      <c r="K119" s="48"/>
      <c r="L119" s="47">
        <f>SUM(L81:L118)</f>
        <v>300077.7264845</v>
      </c>
      <c r="M119" s="49">
        <f>H119+J119+L119</f>
        <v>390652.9313265</v>
      </c>
    </row>
    <row r="120" spans="2:13" ht="12.75">
      <c r="B120" s="24"/>
      <c r="C120" s="53"/>
      <c r="D120" s="24"/>
      <c r="E120" s="24"/>
      <c r="F120" s="25"/>
      <c r="G120" s="26"/>
      <c r="H120" s="27"/>
      <c r="I120" s="26"/>
      <c r="J120" s="27"/>
      <c r="K120" s="26"/>
      <c r="L120" s="27"/>
      <c r="M120" s="26"/>
    </row>
    <row r="121" spans="2:13" s="13" customFormat="1" ht="12.75">
      <c r="B121" s="30" t="s">
        <v>45</v>
      </c>
      <c r="C121" s="87"/>
      <c r="D121" s="30" t="s">
        <v>31</v>
      </c>
      <c r="E121" s="30"/>
      <c r="F121" s="31"/>
      <c r="G121" s="32"/>
      <c r="H121" s="32"/>
      <c r="I121" s="32"/>
      <c r="J121" s="32"/>
      <c r="K121" s="32"/>
      <c r="L121" s="33"/>
      <c r="M121" s="32"/>
    </row>
    <row r="122" spans="2:13" ht="12.75">
      <c r="B122" s="39" t="s">
        <v>46</v>
      </c>
      <c r="C122" s="40"/>
      <c r="D122" s="39" t="s">
        <v>49</v>
      </c>
      <c r="E122" s="40" t="s">
        <v>178</v>
      </c>
      <c r="F122" s="51">
        <v>1</v>
      </c>
      <c r="G122" s="41">
        <v>1632</v>
      </c>
      <c r="H122" s="41">
        <f>F122*G122</f>
        <v>1632</v>
      </c>
      <c r="I122" s="41">
        <v>0</v>
      </c>
      <c r="J122" s="41">
        <f>F122*I122</f>
        <v>0</v>
      </c>
      <c r="K122" s="41">
        <v>39168</v>
      </c>
      <c r="L122" s="41">
        <f>F122*K122</f>
        <v>39168</v>
      </c>
      <c r="M122" s="41">
        <f>L122+J122+H122</f>
        <v>40800</v>
      </c>
    </row>
    <row r="123" spans="2:13" ht="13.5" thickBot="1">
      <c r="B123" s="39" t="s">
        <v>47</v>
      </c>
      <c r="C123" s="40" t="s">
        <v>69</v>
      </c>
      <c r="D123" s="39" t="s">
        <v>68</v>
      </c>
      <c r="E123" s="40" t="s">
        <v>12</v>
      </c>
      <c r="F123" s="51">
        <v>4</v>
      </c>
      <c r="G123" s="41">
        <v>12.89</v>
      </c>
      <c r="H123" s="41">
        <f>G123*F123</f>
        <v>51.56</v>
      </c>
      <c r="I123" s="41">
        <v>116</v>
      </c>
      <c r="J123" s="41">
        <f>I123*F123</f>
        <v>464</v>
      </c>
      <c r="K123" s="41">
        <v>193.33</v>
      </c>
      <c r="L123" s="42">
        <f>K123*F123</f>
        <v>773.32</v>
      </c>
      <c r="M123" s="41">
        <f>L123+J123+H123</f>
        <v>1288.88</v>
      </c>
    </row>
    <row r="124" spans="2:13" ht="13.5" thickBot="1">
      <c r="B124" s="54"/>
      <c r="C124" s="89"/>
      <c r="D124" s="45" t="s">
        <v>6</v>
      </c>
      <c r="E124" s="55"/>
      <c r="F124" s="56"/>
      <c r="G124" s="47"/>
      <c r="H124" s="47">
        <f>SUM(H122:H123)</f>
        <v>1683.56</v>
      </c>
      <c r="I124" s="47"/>
      <c r="J124" s="47">
        <f>SUM(J122:J123)</f>
        <v>464</v>
      </c>
      <c r="K124" s="47"/>
      <c r="L124" s="47">
        <f>SUM(L122:L123)</f>
        <v>39941.32</v>
      </c>
      <c r="M124" s="49">
        <f>H124+J124+L124</f>
        <v>42088.88</v>
      </c>
    </row>
    <row r="125" spans="2:13" ht="12.75">
      <c r="B125" s="24"/>
      <c r="C125" s="53"/>
      <c r="D125" s="24"/>
      <c r="E125" s="24"/>
      <c r="F125" s="57"/>
      <c r="G125" s="26"/>
      <c r="H125" s="27"/>
      <c r="I125" s="26"/>
      <c r="J125" s="50"/>
      <c r="K125" s="50"/>
      <c r="L125" s="50"/>
      <c r="M125" s="26"/>
    </row>
    <row r="126" spans="2:13" ht="6.75" customHeight="1" thickBot="1">
      <c r="B126" s="24"/>
      <c r="C126" s="53"/>
      <c r="D126" s="24"/>
      <c r="E126" s="24"/>
      <c r="F126" s="57"/>
      <c r="G126" s="26"/>
      <c r="H126" s="27"/>
      <c r="I126" s="26"/>
      <c r="J126" s="50"/>
      <c r="K126" s="50"/>
      <c r="L126" s="50"/>
      <c r="M126" s="26"/>
    </row>
    <row r="127" spans="2:13" s="13" customFormat="1" ht="13.5" thickBot="1">
      <c r="B127" s="52"/>
      <c r="C127" s="90"/>
      <c r="D127" s="44" t="s">
        <v>23</v>
      </c>
      <c r="E127" s="44"/>
      <c r="F127" s="48"/>
      <c r="G127" s="47"/>
      <c r="H127" s="47">
        <f>H124+H78+H43+H119</f>
        <v>51644.024256000004</v>
      </c>
      <c r="I127" s="47"/>
      <c r="J127" s="47">
        <f>J124+J78+J43+J119</f>
        <v>238062.93260000006</v>
      </c>
      <c r="K127" s="47"/>
      <c r="L127" s="47">
        <f>L124+L78+L43+L119</f>
        <v>948163.7708660001</v>
      </c>
      <c r="M127" s="49">
        <f>L127+J127+H127</f>
        <v>1237870.727722</v>
      </c>
    </row>
    <row r="128" spans="2:13" ht="12.75">
      <c r="B128" s="24"/>
      <c r="C128" s="53"/>
      <c r="D128" s="96" t="s">
        <v>71</v>
      </c>
      <c r="E128" s="24"/>
      <c r="F128" s="57"/>
      <c r="G128" s="26"/>
      <c r="H128" s="27"/>
      <c r="I128" s="26"/>
      <c r="J128" s="27"/>
      <c r="K128" s="26"/>
      <c r="L128" s="27"/>
      <c r="M128" s="26"/>
    </row>
    <row r="129" spans="2:13" ht="12.75">
      <c r="B129" s="24"/>
      <c r="C129" s="53"/>
      <c r="D129" s="96"/>
      <c r="E129" s="24"/>
      <c r="F129" s="57"/>
      <c r="G129" s="26"/>
      <c r="H129" s="27"/>
      <c r="I129" s="26"/>
      <c r="J129" s="27"/>
      <c r="K129" s="26"/>
      <c r="L129" s="27"/>
      <c r="M129" s="26"/>
    </row>
    <row r="130" spans="2:13" ht="12.75">
      <c r="B130" s="24" t="s">
        <v>197</v>
      </c>
      <c r="C130" s="109" t="s">
        <v>188</v>
      </c>
      <c r="D130" s="58" t="s">
        <v>198</v>
      </c>
      <c r="E130" s="24"/>
      <c r="F130" s="57"/>
      <c r="G130" s="26"/>
      <c r="H130" s="27"/>
      <c r="I130" s="26"/>
      <c r="J130" s="27"/>
      <c r="K130" s="26"/>
      <c r="L130" s="27"/>
      <c r="M130" s="26"/>
    </row>
    <row r="131" spans="2:13" ht="12.75">
      <c r="B131" s="24"/>
      <c r="C131" s="53"/>
      <c r="D131" s="58" t="s">
        <v>207</v>
      </c>
      <c r="E131" s="24"/>
      <c r="F131" s="57"/>
      <c r="G131" s="26"/>
      <c r="H131" s="27"/>
      <c r="I131" s="26"/>
      <c r="J131" s="27"/>
      <c r="K131" s="26"/>
      <c r="L131" s="27"/>
      <c r="M131" s="26"/>
    </row>
    <row r="132" spans="2:13" ht="12.75">
      <c r="B132" s="24"/>
      <c r="C132" s="53"/>
      <c r="D132" s="58" t="s">
        <v>206</v>
      </c>
      <c r="E132" s="24"/>
      <c r="F132" s="57"/>
      <c r="G132" s="26"/>
      <c r="H132" s="27"/>
      <c r="I132" s="26"/>
      <c r="J132" s="27"/>
      <c r="K132" s="26"/>
      <c r="L132" s="27"/>
      <c r="M132" s="26"/>
    </row>
    <row r="133" spans="2:13" ht="12.75">
      <c r="B133" s="24"/>
      <c r="C133" s="53"/>
      <c r="D133" s="24"/>
      <c r="E133" s="24"/>
      <c r="F133" s="57"/>
      <c r="G133" s="26"/>
      <c r="H133" s="27"/>
      <c r="I133" s="26"/>
      <c r="J133" s="27"/>
      <c r="K133" s="26"/>
      <c r="L133" s="27"/>
      <c r="M133" s="26"/>
    </row>
    <row r="134" spans="2:13" ht="12.75">
      <c r="B134" s="24"/>
      <c r="C134" s="53" t="s">
        <v>72</v>
      </c>
      <c r="D134" s="107"/>
      <c r="E134" s="108"/>
      <c r="F134" s="108"/>
      <c r="G134" s="108"/>
      <c r="H134" s="27"/>
      <c r="I134" s="26"/>
      <c r="J134" s="27"/>
      <c r="K134" s="26"/>
      <c r="L134" s="27"/>
      <c r="M134" s="26"/>
    </row>
    <row r="135" spans="2:13" ht="12.75">
      <c r="B135" s="24"/>
      <c r="C135" s="24"/>
      <c r="D135" s="107"/>
      <c r="E135" s="24"/>
      <c r="F135" s="57"/>
      <c r="G135" s="26"/>
      <c r="H135" s="27"/>
      <c r="I135" s="26"/>
      <c r="J135" s="27"/>
      <c r="K135" s="26"/>
      <c r="L135" s="27"/>
      <c r="M135" s="26"/>
    </row>
    <row r="136" spans="2:13" ht="12.75">
      <c r="B136" s="24"/>
      <c r="C136" s="53"/>
      <c r="D136" s="24"/>
      <c r="E136" s="24"/>
      <c r="F136" s="57"/>
      <c r="G136" s="26"/>
      <c r="H136" s="27"/>
      <c r="I136" s="26"/>
      <c r="J136" s="27"/>
      <c r="K136" s="26"/>
      <c r="L136" s="27"/>
      <c r="M136" s="26"/>
    </row>
    <row r="137" spans="2:13" ht="12.75">
      <c r="B137" s="24"/>
      <c r="C137" s="53"/>
      <c r="D137" s="53" t="s">
        <v>196</v>
      </c>
      <c r="E137" s="24"/>
      <c r="F137" s="57"/>
      <c r="G137" s="26"/>
      <c r="H137" s="27"/>
      <c r="I137" s="26"/>
      <c r="J137" s="27"/>
      <c r="K137" s="26"/>
      <c r="L137" s="27"/>
      <c r="M137" s="26"/>
    </row>
    <row r="138" spans="2:13" ht="12.75">
      <c r="B138" s="24"/>
      <c r="C138" s="24"/>
      <c r="D138" s="24"/>
      <c r="E138" s="24"/>
      <c r="F138" s="57"/>
      <c r="G138" s="26"/>
      <c r="H138" s="27"/>
      <c r="I138" s="26"/>
      <c r="J138" s="27"/>
      <c r="K138" s="26"/>
      <c r="L138" s="27"/>
      <c r="M138" s="26"/>
    </row>
    <row r="139" spans="2:13" ht="12.75">
      <c r="B139" s="24"/>
      <c r="C139" s="24"/>
      <c r="D139" s="24"/>
      <c r="E139" s="24"/>
      <c r="F139" s="57"/>
      <c r="G139" s="26"/>
      <c r="H139" s="27"/>
      <c r="I139" s="26"/>
      <c r="J139" s="27"/>
      <c r="K139" s="26"/>
      <c r="L139" s="27"/>
      <c r="M139" s="26"/>
    </row>
    <row r="140" spans="2:13" ht="12.75">
      <c r="B140" s="24"/>
      <c r="C140" s="24"/>
      <c r="D140" s="24" t="s">
        <v>210</v>
      </c>
      <c r="E140" s="24"/>
      <c r="F140" s="57"/>
      <c r="G140" s="26"/>
      <c r="H140" s="27"/>
      <c r="I140" s="26"/>
      <c r="J140" s="27"/>
      <c r="K140" s="26"/>
      <c r="L140" s="27"/>
      <c r="M140" s="26"/>
    </row>
    <row r="141" spans="2:13" ht="12.75">
      <c r="B141" s="24"/>
      <c r="C141" s="24"/>
      <c r="D141" s="24" t="s">
        <v>209</v>
      </c>
      <c r="E141" s="24"/>
      <c r="F141" s="57"/>
      <c r="G141" s="26"/>
      <c r="H141" s="27"/>
      <c r="I141" s="26"/>
      <c r="J141" s="27"/>
      <c r="K141" s="26"/>
      <c r="L141" s="27"/>
      <c r="M141" s="26"/>
    </row>
    <row r="142" spans="2:13" ht="12.75">
      <c r="B142" s="24"/>
      <c r="C142" s="24"/>
      <c r="D142" s="24" t="s">
        <v>211</v>
      </c>
      <c r="E142" s="24"/>
      <c r="F142" s="57"/>
      <c r="G142" s="26"/>
      <c r="H142" s="27"/>
      <c r="I142" s="26"/>
      <c r="J142" s="27"/>
      <c r="K142" s="26"/>
      <c r="L142" s="27"/>
      <c r="M142" s="26"/>
    </row>
    <row r="143" spans="2:13" ht="12.75">
      <c r="B143" s="24"/>
      <c r="C143" s="24"/>
      <c r="D143" s="24"/>
      <c r="E143" s="24"/>
      <c r="F143" s="57"/>
      <c r="G143" s="26"/>
      <c r="H143" s="27"/>
      <c r="I143" s="26"/>
      <c r="J143" s="27"/>
      <c r="K143" s="26"/>
      <c r="L143" s="27"/>
      <c r="M143" s="26"/>
    </row>
    <row r="144" spans="2:13" ht="12.75">
      <c r="B144" s="24"/>
      <c r="C144" s="24"/>
      <c r="D144" s="24"/>
      <c r="E144" s="24"/>
      <c r="F144" s="57"/>
      <c r="G144" s="26"/>
      <c r="H144" s="27"/>
      <c r="I144" s="26"/>
      <c r="J144" s="27"/>
      <c r="K144" s="26"/>
      <c r="L144" s="27"/>
      <c r="M144" s="26"/>
    </row>
  </sheetData>
  <sheetProtection/>
  <mergeCells count="6">
    <mergeCell ref="M7:M8"/>
    <mergeCell ref="B7:B8"/>
    <mergeCell ref="C7:C8"/>
    <mergeCell ref="D7:D8"/>
    <mergeCell ref="E7:E8"/>
    <mergeCell ref="F7:F8"/>
  </mergeCells>
  <printOptions/>
  <pageMargins left="0.5905511811023623" right="0.5905511811023623" top="0.6692913385826772" bottom="0.7086614173228347" header="0.5118110236220472" footer="0.5118110236220472"/>
  <pageSetup fitToHeight="8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5.8515625" style="59" customWidth="1"/>
    <col min="2" max="3" width="9.140625" style="59" customWidth="1"/>
    <col min="4" max="4" width="14.7109375" style="59" customWidth="1"/>
    <col min="5" max="5" width="9.140625" style="59" customWidth="1"/>
    <col min="6" max="6" width="12.28125" style="59" customWidth="1"/>
    <col min="7" max="7" width="11.421875" style="59" customWidth="1"/>
    <col min="8" max="8" width="12.140625" style="59" customWidth="1"/>
    <col min="9" max="9" width="12.00390625" style="59" customWidth="1"/>
    <col min="10" max="10" width="11.00390625" style="59" customWidth="1"/>
    <col min="11" max="11" width="10.7109375" style="59" customWidth="1"/>
    <col min="12" max="12" width="11.00390625" style="59" customWidth="1"/>
    <col min="13" max="13" width="9.140625" style="59" customWidth="1"/>
    <col min="14" max="14" width="10.421875" style="59" customWidth="1"/>
    <col min="15" max="16384" width="9.140625" style="59" customWidth="1"/>
  </cols>
  <sheetData>
    <row r="1" spans="1:14" ht="13.5" thickTop="1">
      <c r="A1" s="149" t="s">
        <v>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3.5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4.25" thickBot="1" thickTop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0"/>
    </row>
    <row r="4" spans="1:14" ht="14.25" thickBot="1" thickTop="1">
      <c r="A4" s="151" t="s">
        <v>24</v>
      </c>
      <c r="B4" s="151"/>
      <c r="C4" s="151"/>
      <c r="D4" s="151"/>
      <c r="E4" s="143" t="s">
        <v>208</v>
      </c>
      <c r="F4" s="144"/>
      <c r="G4" s="144"/>
      <c r="H4" s="144"/>
      <c r="I4" s="144"/>
      <c r="J4" s="145"/>
      <c r="K4" s="146" t="s">
        <v>79</v>
      </c>
      <c r="L4" s="147"/>
      <c r="M4" s="147"/>
      <c r="N4" s="148"/>
    </row>
    <row r="5" spans="1:14" ht="14.25" thickBot="1" thickTop="1">
      <c r="A5" s="62"/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4.25" thickBot="1" thickTop="1">
      <c r="A6" s="64" t="s">
        <v>25</v>
      </c>
      <c r="B6" s="152" t="s">
        <v>26</v>
      </c>
      <c r="C6" s="152"/>
      <c r="D6" s="152"/>
      <c r="E6" s="152"/>
      <c r="F6" s="152"/>
      <c r="G6" s="64">
        <v>30</v>
      </c>
      <c r="H6" s="64">
        <v>60</v>
      </c>
      <c r="I6" s="64">
        <v>90</v>
      </c>
      <c r="J6" s="64">
        <v>120</v>
      </c>
      <c r="K6" s="64">
        <v>150</v>
      </c>
      <c r="L6" s="64">
        <v>180</v>
      </c>
      <c r="M6" s="153" t="s">
        <v>27</v>
      </c>
      <c r="N6" s="153"/>
    </row>
    <row r="7" spans="1:14" ht="13.5" thickTop="1">
      <c r="A7" s="65">
        <v>1</v>
      </c>
      <c r="B7" s="134" t="str">
        <f>'orç PAV'!D9</f>
        <v>RUA NATALINO GIORDANO</v>
      </c>
      <c r="C7" s="135"/>
      <c r="D7" s="135"/>
      <c r="E7" s="135"/>
      <c r="F7" s="135"/>
      <c r="G7" s="66">
        <f>'orç PAV'!M43*Cronograma!G8</f>
        <v>67756.41170100002</v>
      </c>
      <c r="H7" s="66">
        <f>'orç PAV'!M43*Cronograma!H8</f>
        <v>372660.2643555001</v>
      </c>
      <c r="I7" s="66">
        <f>'orç PAV'!M43*Cronograma!I8</f>
        <v>237147.44095350004</v>
      </c>
      <c r="J7" s="66"/>
      <c r="K7" s="66"/>
      <c r="L7" s="66"/>
      <c r="M7" s="127">
        <f>SUM(G7:L7)</f>
        <v>677564.1170100002</v>
      </c>
      <c r="N7" s="127"/>
    </row>
    <row r="8" spans="1:14" ht="13.5" thickBot="1">
      <c r="A8" s="67"/>
      <c r="B8" s="142"/>
      <c r="C8" s="142"/>
      <c r="D8" s="142"/>
      <c r="E8" s="142"/>
      <c r="F8" s="142"/>
      <c r="G8" s="68">
        <v>0.1</v>
      </c>
      <c r="H8" s="68">
        <v>0.55</v>
      </c>
      <c r="I8" s="68">
        <v>0.35</v>
      </c>
      <c r="J8" s="68"/>
      <c r="K8" s="68"/>
      <c r="L8" s="68"/>
      <c r="M8" s="133">
        <f>M7/M15</f>
        <v>0.5473625814360211</v>
      </c>
      <c r="N8" s="133"/>
    </row>
    <row r="9" spans="1:14" ht="13.5" thickTop="1">
      <c r="A9" s="65">
        <v>2</v>
      </c>
      <c r="B9" s="134" t="str">
        <f>'orç PAV'!D45</f>
        <v>RUA LUIZA PESSOA DE OLIVEIRA</v>
      </c>
      <c r="C9" s="135"/>
      <c r="D9" s="135"/>
      <c r="E9" s="135"/>
      <c r="F9" s="135"/>
      <c r="G9" s="66">
        <f>'orç PAV'!M78*Cronograma!G10</f>
        <v>76538.8796313</v>
      </c>
      <c r="H9" s="66">
        <f>'orç PAV'!M78*Cronograma!H10</f>
        <v>51025.919754200004</v>
      </c>
      <c r="I9" s="66"/>
      <c r="J9" s="66"/>
      <c r="K9" s="66"/>
      <c r="L9" s="66"/>
      <c r="M9" s="127">
        <f>SUM(G9:L9)</f>
        <v>127564.79938550001</v>
      </c>
      <c r="N9" s="127"/>
    </row>
    <row r="10" spans="1:14" ht="13.5" thickBot="1">
      <c r="A10" s="67"/>
      <c r="B10" s="142"/>
      <c r="C10" s="142"/>
      <c r="D10" s="142"/>
      <c r="E10" s="142"/>
      <c r="F10" s="142"/>
      <c r="G10" s="68">
        <v>0.6</v>
      </c>
      <c r="H10" s="68">
        <v>0.4</v>
      </c>
      <c r="I10" s="68"/>
      <c r="J10" s="68"/>
      <c r="K10" s="68"/>
      <c r="L10" s="68"/>
      <c r="M10" s="133">
        <f>M9/M15</f>
        <v>0.1030517941241344</v>
      </c>
      <c r="N10" s="133"/>
    </row>
    <row r="11" spans="1:14" ht="13.5" thickTop="1">
      <c r="A11" s="65">
        <v>3</v>
      </c>
      <c r="B11" s="136" t="str">
        <f>'orç PAV'!D80</f>
        <v>AV. LUIZ PESSOA DA SILVA NETO (da Ponte até o asfalto existente)</v>
      </c>
      <c r="C11" s="137"/>
      <c r="D11" s="137"/>
      <c r="E11" s="137"/>
      <c r="F11" s="138"/>
      <c r="G11" s="66">
        <f>'orç PAV'!M119*Cronograma!G12</f>
        <v>234391.7587959</v>
      </c>
      <c r="H11" s="66">
        <f>'orç PAV'!M119*Cronograma!H12</f>
        <v>156261.17253060002</v>
      </c>
      <c r="I11" s="66"/>
      <c r="J11" s="66"/>
      <c r="K11" s="66"/>
      <c r="L11" s="66"/>
      <c r="M11" s="127">
        <f>SUM(G11:L11)</f>
        <v>390652.9313265</v>
      </c>
      <c r="N11" s="127"/>
    </row>
    <row r="12" spans="1:14" ht="13.5" thickBot="1">
      <c r="A12" s="67"/>
      <c r="B12" s="139"/>
      <c r="C12" s="140"/>
      <c r="D12" s="140"/>
      <c r="E12" s="140"/>
      <c r="F12" s="141"/>
      <c r="G12" s="68">
        <v>0.6</v>
      </c>
      <c r="H12" s="68">
        <v>0.4</v>
      </c>
      <c r="I12" s="68"/>
      <c r="J12" s="68"/>
      <c r="K12" s="68"/>
      <c r="L12" s="68"/>
      <c r="M12" s="133">
        <f>M11/M15</f>
        <v>0.315584594237398</v>
      </c>
      <c r="N12" s="133"/>
    </row>
    <row r="13" spans="1:14" ht="13.5" thickTop="1">
      <c r="A13" s="65">
        <v>4</v>
      </c>
      <c r="B13" s="124" t="s">
        <v>31</v>
      </c>
      <c r="C13" s="125"/>
      <c r="D13" s="125"/>
      <c r="E13" s="125"/>
      <c r="F13" s="126"/>
      <c r="G13" s="66">
        <f>'orç PAV'!M124*Cronograma!G14</f>
        <v>21044.44</v>
      </c>
      <c r="H13" s="66"/>
      <c r="I13" s="66">
        <f>'orç PAV'!M124*Cronograma!I14</f>
        <v>21044.44</v>
      </c>
      <c r="J13" s="66"/>
      <c r="K13" s="66"/>
      <c r="L13" s="66"/>
      <c r="M13" s="127">
        <f>SUM(G13:L13)</f>
        <v>42088.88</v>
      </c>
      <c r="N13" s="127"/>
    </row>
    <row r="14" spans="1:14" ht="13.5" thickBot="1">
      <c r="A14" s="67"/>
      <c r="B14" s="128"/>
      <c r="C14" s="129"/>
      <c r="D14" s="129"/>
      <c r="E14" s="129"/>
      <c r="F14" s="130"/>
      <c r="G14" s="68">
        <v>0.5</v>
      </c>
      <c r="H14" s="68"/>
      <c r="I14" s="68">
        <v>0.5</v>
      </c>
      <c r="J14" s="68"/>
      <c r="K14" s="68"/>
      <c r="L14" s="68"/>
      <c r="M14" s="131">
        <f>M13/M15</f>
        <v>0.03400103020244637</v>
      </c>
      <c r="N14" s="132"/>
    </row>
    <row r="15" spans="1:14" ht="13.5" thickTop="1">
      <c r="A15" s="69"/>
      <c r="B15" s="70"/>
      <c r="C15" s="70"/>
      <c r="D15" s="70"/>
      <c r="E15" s="115" t="s">
        <v>28</v>
      </c>
      <c r="F15" s="115"/>
      <c r="G15" s="71">
        <f aca="true" t="shared" si="0" ref="G15:M15">SUM(G7,G13,G9,G11)</f>
        <v>399731.49012820004</v>
      </c>
      <c r="H15" s="71">
        <f t="shared" si="0"/>
        <v>579947.3566403001</v>
      </c>
      <c r="I15" s="71">
        <f t="shared" si="0"/>
        <v>258191.88095350005</v>
      </c>
      <c r="J15" s="71">
        <f t="shared" si="0"/>
        <v>0</v>
      </c>
      <c r="K15" s="71">
        <f t="shared" si="0"/>
        <v>0</v>
      </c>
      <c r="L15" s="71">
        <f t="shared" si="0"/>
        <v>0</v>
      </c>
      <c r="M15" s="116">
        <f t="shared" si="0"/>
        <v>1237870.7277220003</v>
      </c>
      <c r="N15" s="117"/>
    </row>
    <row r="16" spans="1:14" ht="13.5" thickBot="1">
      <c r="A16" s="72"/>
      <c r="E16" s="123" t="s">
        <v>29</v>
      </c>
      <c r="F16" s="123"/>
      <c r="G16" s="73">
        <f>G15/M15</f>
        <v>0.32291860626174473</v>
      </c>
      <c r="H16" s="73">
        <f>H15/M15</f>
        <v>0.4685039751344246</v>
      </c>
      <c r="I16" s="73">
        <f>I15/M15</f>
        <v>0.20857741860383058</v>
      </c>
      <c r="J16" s="73">
        <f>J15/M15</f>
        <v>0</v>
      </c>
      <c r="K16" s="73">
        <f>K15/M15</f>
        <v>0</v>
      </c>
      <c r="L16" s="73">
        <f>L15/M15</f>
        <v>0</v>
      </c>
      <c r="M16" s="122">
        <f>SUM(M8,M14,M10,M12)</f>
        <v>1</v>
      </c>
      <c r="N16" s="122"/>
    </row>
    <row r="17" ht="13.5" thickTop="1">
      <c r="A17" s="72"/>
    </row>
    <row r="20" spans="2:12" ht="12.75">
      <c r="B20" s="74"/>
      <c r="C20" s="74"/>
      <c r="D20" s="74"/>
      <c r="H20" s="75"/>
      <c r="I20" s="75"/>
      <c r="J20" s="75"/>
      <c r="K20" s="84"/>
      <c r="L20" s="84"/>
    </row>
    <row r="21" spans="2:12" ht="12.75">
      <c r="B21" s="120"/>
      <c r="C21" s="121"/>
      <c r="D21" s="121"/>
      <c r="H21" s="120"/>
      <c r="I21" s="121"/>
      <c r="J21" s="121"/>
      <c r="K21" s="70"/>
      <c r="L21" s="70"/>
    </row>
    <row r="22" spans="2:12" ht="12.75">
      <c r="B22" s="118" t="s">
        <v>30</v>
      </c>
      <c r="C22" s="118"/>
      <c r="D22" s="118"/>
      <c r="H22" s="119" t="s">
        <v>80</v>
      </c>
      <c r="I22" s="118"/>
      <c r="J22" s="118"/>
      <c r="K22" s="83"/>
      <c r="L22" s="83"/>
    </row>
    <row r="23" spans="8:12" ht="12.75">
      <c r="H23" s="119" t="s">
        <v>81</v>
      </c>
      <c r="I23" s="118"/>
      <c r="J23" s="118"/>
      <c r="K23" s="83"/>
      <c r="L23" s="83"/>
    </row>
  </sheetData>
  <sheetProtection/>
  <mergeCells count="31">
    <mergeCell ref="E4:J4"/>
    <mergeCell ref="K4:N4"/>
    <mergeCell ref="A1:N1"/>
    <mergeCell ref="A2:N2"/>
    <mergeCell ref="A4:D4"/>
    <mergeCell ref="B6:F6"/>
    <mergeCell ref="M6:N6"/>
    <mergeCell ref="B9:F9"/>
    <mergeCell ref="M9:N9"/>
    <mergeCell ref="B11:F12"/>
    <mergeCell ref="B7:F7"/>
    <mergeCell ref="M7:N7"/>
    <mergeCell ref="B8:F8"/>
    <mergeCell ref="M8:N8"/>
    <mergeCell ref="B10:F10"/>
    <mergeCell ref="M10:N10"/>
    <mergeCell ref="B13:F13"/>
    <mergeCell ref="M13:N13"/>
    <mergeCell ref="B14:F14"/>
    <mergeCell ref="M14:N14"/>
    <mergeCell ref="M11:N11"/>
    <mergeCell ref="M12:N12"/>
    <mergeCell ref="E15:F15"/>
    <mergeCell ref="M15:N15"/>
    <mergeCell ref="B22:D22"/>
    <mergeCell ref="H22:J22"/>
    <mergeCell ref="H23:J23"/>
    <mergeCell ref="B21:D21"/>
    <mergeCell ref="H21:J21"/>
    <mergeCell ref="M16:N16"/>
    <mergeCell ref="E16:F16"/>
  </mergeCells>
  <printOptions/>
  <pageMargins left="0.7874015748031497" right="0.7874015748031497" top="0.9055118110236221" bottom="0.3937007874015748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Lauson</dc:creator>
  <cp:keywords/>
  <dc:description/>
  <cp:lastModifiedBy>ADAMES</cp:lastModifiedBy>
  <cp:lastPrinted>2011-06-02T15:18:15Z</cp:lastPrinted>
  <dcterms:created xsi:type="dcterms:W3CDTF">2009-08-31T16:51:50Z</dcterms:created>
  <dcterms:modified xsi:type="dcterms:W3CDTF">2011-07-25T12:51:24Z</dcterms:modified>
  <cp:category/>
  <cp:version/>
  <cp:contentType/>
  <cp:contentStatus/>
</cp:coreProperties>
</file>