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orç PAV" sheetId="1" r:id="rId1"/>
    <sheet name="orç PLUVIAL" sheetId="2" r:id="rId2"/>
    <sheet name="orç ESGOTO" sheetId="3" r:id="rId3"/>
    <sheet name="Cronograma" sheetId="4" r:id="rId4"/>
  </sheets>
  <definedNames/>
  <calcPr fullCalcOnLoad="1"/>
</workbook>
</file>

<file path=xl/sharedStrings.xml><?xml version="1.0" encoding="utf-8"?>
<sst xmlns="http://schemas.openxmlformats.org/spreadsheetml/2006/main" count="1066" uniqueCount="324">
  <si>
    <t>ORÇAMENTO DE SERVIÇOS E MATERIAIS</t>
  </si>
  <si>
    <t>Item</t>
  </si>
  <si>
    <t>Serviços</t>
  </si>
  <si>
    <t>Unid.</t>
  </si>
  <si>
    <t>Quant.</t>
  </si>
  <si>
    <t>Unitário</t>
  </si>
  <si>
    <t>Total</t>
  </si>
  <si>
    <t>MOB</t>
  </si>
  <si>
    <t>Material</t>
  </si>
  <si>
    <t>Equipam.</t>
  </si>
  <si>
    <t>1.0</t>
  </si>
  <si>
    <t>1.1</t>
  </si>
  <si>
    <t>m²</t>
  </si>
  <si>
    <t>1.2</t>
  </si>
  <si>
    <t>1.3</t>
  </si>
  <si>
    <t>m³</t>
  </si>
  <si>
    <t>2.0</t>
  </si>
  <si>
    <t>2.1</t>
  </si>
  <si>
    <t>2.2</t>
  </si>
  <si>
    <t>2.3</t>
  </si>
  <si>
    <t>2.4</t>
  </si>
  <si>
    <t>3.0</t>
  </si>
  <si>
    <t>3.1</t>
  </si>
  <si>
    <t>TOTAL GERAL</t>
  </si>
  <si>
    <t>CRONOGRAMA FÍSICO-FINANCEIRO</t>
  </si>
  <si>
    <t>ITEM</t>
  </si>
  <si>
    <t>DISCRIMINAÇÃO</t>
  </si>
  <si>
    <t>R$ %</t>
  </si>
  <si>
    <t>R$</t>
  </si>
  <si>
    <t>%</t>
  </si>
  <si>
    <t>DIVERSOS</t>
  </si>
  <si>
    <t>Regularização e compactação do subleito</t>
  </si>
  <si>
    <t>Meio fio de concreto pré-moldado MFC 05</t>
  </si>
  <si>
    <t>m</t>
  </si>
  <si>
    <t>Espalhamento de bota fora</t>
  </si>
  <si>
    <t>2.5</t>
  </si>
  <si>
    <t>2.6</t>
  </si>
  <si>
    <t>2.7</t>
  </si>
  <si>
    <t>2.8</t>
  </si>
  <si>
    <t>3.2</t>
  </si>
  <si>
    <t>3.3</t>
  </si>
  <si>
    <t>3.4</t>
  </si>
  <si>
    <t>3.5</t>
  </si>
  <si>
    <t>3.6</t>
  </si>
  <si>
    <t>4.0</t>
  </si>
  <si>
    <t>4.1</t>
  </si>
  <si>
    <t>4.2</t>
  </si>
  <si>
    <t>5.0</t>
  </si>
  <si>
    <t>6.0</t>
  </si>
  <si>
    <t>5.1</t>
  </si>
  <si>
    <t>5.2</t>
  </si>
  <si>
    <t>5.3</t>
  </si>
  <si>
    <t>Placa toda refletiva - regulamentação, advertência e indicativa</t>
  </si>
  <si>
    <t>6.1</t>
  </si>
  <si>
    <t>Mobilização e desmobilização de equipamentos</t>
  </si>
  <si>
    <t>unid</t>
  </si>
  <si>
    <t>6.2</t>
  </si>
  <si>
    <t>6.3</t>
  </si>
  <si>
    <t>Escavação, carga e transporte de material de 1ª Categoria - DMT 800 a 1.000 m</t>
  </si>
  <si>
    <t>Transporte de material bota-fora DMT = 6,00km</t>
  </si>
  <si>
    <t>74204/001</t>
  </si>
  <si>
    <t>131-DAER</t>
  </si>
  <si>
    <t>73766/001</t>
  </si>
  <si>
    <t>Imprimação de base de pavimentação com emulsão CM-30</t>
  </si>
  <si>
    <t>Pintura de Ligação com emulsão RR-2C - p/ camada final</t>
  </si>
  <si>
    <t>73789/002</t>
  </si>
  <si>
    <t>Pintura c/ tinta em pó industrializada de cal, pigmento e fixador, duas demãos</t>
  </si>
  <si>
    <t>73791/001</t>
  </si>
  <si>
    <t>2.9</t>
  </si>
  <si>
    <t>Remoção material 1ª cat, em caminhão basculante, DMT=6 KM (incl carga mecânica e descarga) - (e=30cm)</t>
  </si>
  <si>
    <t>74203/001</t>
  </si>
  <si>
    <t>Compactação de valas, manualmente, sem controle de GC</t>
  </si>
  <si>
    <t>74006/001</t>
  </si>
  <si>
    <t>74119/001</t>
  </si>
  <si>
    <t>7264-DAER</t>
  </si>
  <si>
    <t>Escavação e acerto manual na faixa de 0,45m de largura p/ execução de meio-fio</t>
  </si>
  <si>
    <t>Reaterro de vala/cava compactada a maco em camadas de 20cm</t>
  </si>
  <si>
    <t>73964/001</t>
  </si>
  <si>
    <t>74206/001</t>
  </si>
  <si>
    <t>Caixa coletora, 1,20x1,20x1,50m, c/ fundo e tampa de concreto e paredes em alvenaria</t>
  </si>
  <si>
    <t>Emboque boca de lobo ou sarjeta</t>
  </si>
  <si>
    <t>Placa de obra em chapa de aço galvanizado</t>
  </si>
  <si>
    <t>74209/001</t>
  </si>
  <si>
    <t>DATA-BASE:</t>
  </si>
  <si>
    <t>B.D.I. utilizado = 30%</t>
  </si>
  <si>
    <t>73962/004</t>
  </si>
  <si>
    <t>Escavação de vala não-escorada em material de 1ª cat com profundidade de 1,5 até 3m c/ retroescavaderia 75HP s/ esgotamento</t>
  </si>
  <si>
    <t>2144-DAER</t>
  </si>
  <si>
    <r>
      <rPr>
        <b/>
        <sz val="9"/>
        <rFont val="Calibri"/>
        <family val="2"/>
      </rPr>
      <t xml:space="preserve">Σ </t>
    </r>
    <r>
      <rPr>
        <b/>
        <sz val="9"/>
        <rFont val="Arial"/>
        <family val="2"/>
      </rPr>
      <t>Unitário</t>
    </r>
  </si>
  <si>
    <t>D.M.T. =</t>
  </si>
  <si>
    <t>5.4</t>
  </si>
  <si>
    <t>5.5</t>
  </si>
  <si>
    <t>5.6</t>
  </si>
  <si>
    <t>m³xkm</t>
  </si>
  <si>
    <t>Fabricação e aplicação de Concreto Betuminoso Usinado a Quente (CBUQ),CAP 50/70, inclusive transporte (e=0,05m) - DMT=25km</t>
  </si>
  <si>
    <t>Carga, manobras e descarga de mistura betuminosa a quente, com caminhão basculante 6 m3, descarga em vibroacabadora</t>
  </si>
  <si>
    <r>
      <t xml:space="preserve">Proprietário –  </t>
    </r>
    <r>
      <rPr>
        <b/>
        <sz val="12"/>
        <rFont val="Times New Roman"/>
        <family val="1"/>
      </rPr>
      <t>PREFEITURA MUNICIPAL DE PINHAL DA SERRA</t>
    </r>
  </si>
  <si>
    <t>Local –  Ruas diversas do perímetro urbano de Pinhal da Serra/RS</t>
  </si>
  <si>
    <t>Código</t>
  </si>
  <si>
    <t>PREFEITURA MUNICIPAL DE PINHAL DA SERRA/RS</t>
  </si>
  <si>
    <r>
      <t xml:space="preserve">Obra: </t>
    </r>
    <r>
      <rPr>
        <b/>
        <sz val="10"/>
        <color indexed="12"/>
        <rFont val="Arial"/>
        <family val="2"/>
      </rPr>
      <t>PAV. ASFÁLTICA COM CBUQ, ESGOTO CLOACAL, REDE PLUVIAL</t>
    </r>
  </si>
  <si>
    <r>
      <t xml:space="preserve">Local: </t>
    </r>
    <r>
      <rPr>
        <b/>
        <sz val="10"/>
        <color indexed="12"/>
        <rFont val="Arial"/>
        <family val="2"/>
      </rPr>
      <t>Perímetro urbano Pinhal da Serra/RS</t>
    </r>
  </si>
  <si>
    <t>RUA NATALINO GIORDANO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</si>
  <si>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</si>
  <si>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</si>
  <si>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</si>
  <si>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</si>
  <si>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</si>
  <si>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</si>
  <si>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</si>
  <si>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</si>
  <si>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</si>
  <si>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</si>
  <si>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</si>
  <si>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</si>
  <si>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</si>
  <si>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74005/002</t>
  </si>
  <si>
    <t>Compactação mecânica c/ controle do GC&gt;=95% PN (áreas) (c/ motoniveladora 140 HP e rolo compressor vibratório 80 HP)</t>
  </si>
  <si>
    <t>Imprimação de base de pavimentação com emulsão CM-30 (borrachudos)</t>
  </si>
  <si>
    <t>Execução do reaterro de borrachudos c/ macadame hidráulico, incl compactação (e=0,30m)</t>
  </si>
  <si>
    <t>1.17</t>
  </si>
  <si>
    <t>1.18</t>
  </si>
  <si>
    <t>1.19</t>
  </si>
  <si>
    <t>1.20</t>
  </si>
  <si>
    <t>1.21</t>
  </si>
  <si>
    <t>1.22</t>
  </si>
  <si>
    <t>1.23</t>
  </si>
  <si>
    <t>1.24</t>
  </si>
  <si>
    <t>Base de brita graduada, incl compactação (esp.=0,12m)</t>
  </si>
  <si>
    <t>Execução da Sub-base com macadame hidráulico, incl compactação (esp.=0,13m)</t>
  </si>
  <si>
    <t>Sinalização horizontal com tinta retrorrefletiva a base de resina acrílica com microesferas de vidro - faixas de segurança e bordos da pista</t>
  </si>
  <si>
    <t>Assentamento de brita 2 - drenos e filtros mm - excl transp.</t>
  </si>
  <si>
    <t>74021/002</t>
  </si>
  <si>
    <t>Ensaios de terraplenagem - camada final do aterro</t>
  </si>
  <si>
    <t>74021/006</t>
  </si>
  <si>
    <t>Ensaios de base estabilizada granulométricamente (macadame)</t>
  </si>
  <si>
    <t>73900/001</t>
  </si>
  <si>
    <t>Ensaios de imprimação - asfalto diluído</t>
  </si>
  <si>
    <t>74021/003</t>
  </si>
  <si>
    <t>Ensaios de regularização do subleito</t>
  </si>
  <si>
    <t>Ensaios de base estabilizada granulométricamente</t>
  </si>
  <si>
    <t>Ensaios de pintura de ligação</t>
  </si>
  <si>
    <t>73900/012</t>
  </si>
  <si>
    <t>Ensaios de concreto asfáltico</t>
  </si>
  <si>
    <t>ton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</si>
  <si>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</si>
  <si>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</si>
  <si>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</si>
  <si>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</si>
  <si>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</si>
  <si>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</si>
  <si>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</si>
  <si>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</si>
  <si>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</si>
  <si>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</si>
  <si>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</si>
  <si>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</si>
  <si>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</si>
  <si>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</si>
  <si>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</si>
  <si>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</si>
  <si>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</si>
  <si>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</si>
  <si>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</si>
  <si>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</si>
  <si>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</si>
  <si>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</si>
  <si>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</si>
  <si>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</si>
  <si>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</si>
  <si>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</si>
  <si>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</si>
  <si>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</si>
  <si>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</si>
  <si>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</si>
  <si>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</si>
  <si>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</si>
  <si>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</si>
  <si>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RUA ANTÔNIO JOSÉ DE OLIVEIRA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</si>
  <si>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</si>
  <si>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</si>
  <si>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</si>
  <si>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</si>
  <si>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</si>
  <si>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</si>
  <si>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</si>
  <si>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</si>
  <si>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</si>
  <si>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</si>
  <si>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</si>
  <si>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</si>
  <si>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</si>
  <si>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</si>
  <si>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</si>
  <si>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</si>
  <si>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</si>
  <si>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</si>
  <si>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</si>
  <si>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</si>
  <si>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</si>
  <si>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</si>
  <si>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</si>
  <si>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</si>
  <si>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</si>
  <si>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</si>
  <si>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</si>
  <si>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RUA JOÃO LAURINDO DE SOUZA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</si>
  <si>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</si>
  <si>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</si>
  <si>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</si>
  <si>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</si>
  <si>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</si>
  <si>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</si>
  <si>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</si>
  <si>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</si>
  <si>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</si>
  <si>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</si>
  <si>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RUA CAP. INÁCIO ANTÔNIO VELHO</t>
  </si>
  <si>
    <t>5.7</t>
  </si>
  <si>
    <t>5.8</t>
  </si>
  <si>
    <t>5.9</t>
  </si>
  <si>
    <t>5.10</t>
  </si>
  <si>
    <t>5.11</t>
  </si>
  <si>
    <t>5.12</t>
  </si>
  <si>
    <t>RUA SADY ANTÔNIO ARNOLDO (XV de Novembro)</t>
  </si>
  <si>
    <t>6.4</t>
  </si>
  <si>
    <t>6.5</t>
  </si>
  <si>
    <t>6.6</t>
  </si>
  <si>
    <t>6.7</t>
  </si>
  <si>
    <t>RUA CALVINO MATTÉ (Pinheiro Machado)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</si>
  <si>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</si>
  <si>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</si>
  <si>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</si>
  <si>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</si>
  <si>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</si>
  <si>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</si>
  <si>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</si>
  <si>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</si>
  <si>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</si>
  <si>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RUA LUIZA PESSOA DE OLIVEIRA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</si>
  <si>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</si>
  <si>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</si>
  <si>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</si>
  <si>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</si>
  <si>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</si>
  <si>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</si>
  <si>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</si>
  <si>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</si>
  <si>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</si>
  <si>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>RUA SÃO JOSÉ</t>
  </si>
  <si>
    <t>9.0</t>
  </si>
  <si>
    <t>9.1</t>
  </si>
  <si>
    <t>9.2</t>
  </si>
  <si>
    <t>vb</t>
  </si>
  <si>
    <t>73877/001</t>
  </si>
  <si>
    <t>Escoramento de valas</t>
  </si>
  <si>
    <t>Compactação de valas, manualmente, sem controle de GC (fundo das valas)</t>
  </si>
  <si>
    <t>74212/001</t>
  </si>
  <si>
    <t>Poço de visita em alvenaria p/ rede pluvial, D=0,60m - prof 1,60m</t>
  </si>
  <si>
    <t>Assentamento de tubos de concreto D=600mm, simples ou armado, junta em argamassa 1:3 cimento:areia</t>
  </si>
  <si>
    <t>Tubo concreto armado classe PA2 PB NBR-8890 DN 600mm p/ águas pluviais</t>
  </si>
  <si>
    <t>Locação e nivelamento de redes de água ou esgoto, inclusive topógrafo</t>
  </si>
  <si>
    <t>Fornecimento e colocação de tubos de PVC Ocre PBA DN150mm, inclusive anel de borracha DN150mm, e conexões PBA DN150mm</t>
  </si>
  <si>
    <t>Poço de visita em alvenaria p/ rede de coleta de esgoto - prof 1,60m</t>
  </si>
  <si>
    <t>PAVIMENTAÇÃO ASFÁLTICA C/ C.B.U.Q.</t>
  </si>
  <si>
    <t>GALERIA DE ÁGUAS PLUVIAIS</t>
  </si>
  <si>
    <t>1.34</t>
  </si>
  <si>
    <t>Locação, marcação e nivelamento de pavimentação asfáltica, inclusive topógrafo</t>
  </si>
  <si>
    <t>2.34</t>
  </si>
  <si>
    <t>3.34</t>
  </si>
  <si>
    <t>C.B.U.Q. - 95,000 km (asfalto) + 69,000 km (chão) - Passo Fundo</t>
  </si>
  <si>
    <t>Transp. coml. c/ caminhão basc 6m3 - rodovia pavimentada - DMT=28km</t>
  </si>
  <si>
    <t>Transp. coml. c/ caminhão basc 6m3 - rodovia revest. Primário - DMT=62km</t>
  </si>
  <si>
    <t>Transp. coml. c/ caminhão basc 6m3 - rodovia pavimentada - DMT=70km</t>
  </si>
  <si>
    <t>Transp. coml. c/ caminhão basc 6m3 - rodovia revest. Primário - DMT=69km</t>
  </si>
  <si>
    <t>1.35</t>
  </si>
  <si>
    <t>2.35</t>
  </si>
  <si>
    <t>3.35</t>
  </si>
  <si>
    <t>Obra –  Pavimentação asfáltica com CBUQ - Etapa 02</t>
  </si>
  <si>
    <t>AV. LUIZ PESSOA DA SILVA NETO (da Ponte até o asfalto existente)</t>
  </si>
  <si>
    <t>9.3</t>
  </si>
  <si>
    <t>9.4</t>
  </si>
  <si>
    <t>9.5</t>
  </si>
  <si>
    <t>9.6</t>
  </si>
  <si>
    <t>9.7</t>
  </si>
  <si>
    <t>9.8</t>
  </si>
  <si>
    <t>10.0</t>
  </si>
  <si>
    <t>10.1</t>
  </si>
  <si>
    <t>10.2</t>
  </si>
  <si>
    <t>OBS.:</t>
  </si>
  <si>
    <t>Escavação, carga e transporte de material de 3ª Categoria - DMT 800 a 1.000 m</t>
  </si>
  <si>
    <t>74-DAER</t>
  </si>
  <si>
    <t>Pinhal da Serra, Fevereiro de 2011.</t>
  </si>
  <si>
    <t>Tubo concreto armado classe PA2 PB NBR-8890 DN 800mm p/ águas pluviais</t>
  </si>
  <si>
    <t>Assentamento de tubos de concreto D=800mm, simples ou armado, junta em argamassa 1:3 cimento:areia</t>
  </si>
  <si>
    <t>10.3</t>
  </si>
  <si>
    <t>10.4</t>
  </si>
  <si>
    <t>10.5</t>
  </si>
  <si>
    <t>10.6</t>
  </si>
  <si>
    <t>10.7</t>
  </si>
  <si>
    <t>10.8</t>
  </si>
  <si>
    <t>RUA SÃO JOSÉ (da Rótula até a Rua J)</t>
  </si>
  <si>
    <t>Sin+3</t>
  </si>
  <si>
    <t>Poço de visita em alvenaria p/ rede pluvial, D=0,80m - prof 2,00m</t>
  </si>
  <si>
    <t>3.36</t>
  </si>
  <si>
    <t>Todo o material necessário para a execução da sub-base de macadame hidráulico e para a execução do reaterro de borrachudos serão fornecidos pelo Município de Pinhal da Serra, sem ônus</t>
  </si>
  <si>
    <t>Macadame - 30,000 km (chão) - Pinhal da Serra</t>
  </si>
  <si>
    <t>Base BG e Brita 2 - 28,000 km (asfalto) + 62,000 km (chão) - Vacaria</t>
  </si>
  <si>
    <t>1.36</t>
  </si>
  <si>
    <t>1.37</t>
  </si>
  <si>
    <t>Transp. coml. c/ caminhão basc 6m3 - rodovia revest. Primário - DMT=30km</t>
  </si>
  <si>
    <t>2.36</t>
  </si>
  <si>
    <t>2.37</t>
  </si>
  <si>
    <t>3.37</t>
  </si>
  <si>
    <t>3.38</t>
  </si>
  <si>
    <t>para a empresa executora dos serviços. Todavia, o transporte desse material ficará a cargo da empresa executora (D.M.T.=30km chão).</t>
  </si>
  <si>
    <t>Obra –  Galeria de Águas Pluviais</t>
  </si>
  <si>
    <t>Obra –  Rede de Coleta de Esgoto Sanitário</t>
  </si>
  <si>
    <t>REDE COLETORA DE ESGOTO E ÁGUA</t>
  </si>
  <si>
    <t>AGREGADOS</t>
  </si>
  <si>
    <t>Pinhal da Serra, Julho de 2011.</t>
  </si>
  <si>
    <t>_______________________                                                          ______________________</t>
  </si>
  <si>
    <t>José Fernando kuhn Adames                                                                     Ivandro Birck</t>
  </si>
  <si>
    <t>Eng. Civil CREA-RS 70952                                                                     Prefeito Municipal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</si>
</sst>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dd\-mmm\-yy"/>
    <numFmt numFmtId="174" formatCode="&quot;R$&quot;#,##0.00_);\(&quot;R$&quot;#,##0.00\)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[$-416]dddd\,\ d&quot; de &quot;mmmm&quot; de &quot;yyyy"/>
    <numFmt numFmtId="181" formatCode="#,##0.0"/>
    <numFmt numFmtId="182" formatCode="0.000"/>
    <numFmt numFmtId="183" formatCode="0.0000"/>
  </numFmts>
  <fonts count="47"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4" fontId="6" fillId="0" borderId="24" xfId="55" applyNumberFormat="1" applyFont="1" applyFill="1" applyBorder="1" applyAlignment="1" applyProtection="1">
      <alignment horizontal="right"/>
      <protection/>
    </xf>
    <xf numFmtId="4" fontId="6" fillId="0" borderId="24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51">
      <alignment/>
      <protection/>
    </xf>
    <xf numFmtId="0" fontId="8" fillId="0" borderId="26" xfId="51" applyFont="1" applyBorder="1" applyAlignment="1">
      <alignment horizontal="center"/>
      <protection/>
    </xf>
    <xf numFmtId="0" fontId="8" fillId="0" borderId="27" xfId="51" applyFont="1" applyBorder="1" applyAlignment="1">
      <alignment horizontal="center"/>
      <protection/>
    </xf>
    <xf numFmtId="0" fontId="9" fillId="0" borderId="26" xfId="51" applyFont="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1" fillId="0" borderId="28" xfId="51" applyFont="1" applyBorder="1" applyAlignment="1">
      <alignment horizontal="center"/>
      <protection/>
    </xf>
    <xf numFmtId="0" fontId="8" fillId="0" borderId="29" xfId="51" applyFont="1" applyFill="1" applyBorder="1" applyAlignment="1">
      <alignment horizontal="center"/>
      <protection/>
    </xf>
    <xf numFmtId="4" fontId="0" fillId="33" borderId="30" xfId="51" applyNumberFormat="1" applyFill="1" applyBorder="1" applyAlignment="1">
      <alignment horizontal="center"/>
      <protection/>
    </xf>
    <xf numFmtId="0" fontId="8" fillId="0" borderId="31" xfId="51" applyFont="1" applyFill="1" applyBorder="1" applyAlignment="1">
      <alignment horizontal="center"/>
      <protection/>
    </xf>
    <xf numFmtId="10" fontId="0" fillId="34" borderId="32" xfId="51" applyNumberFormat="1" applyFill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0" fillId="0" borderId="0" xfId="51" applyBorder="1" applyAlignment="1">
      <alignment horizontal="center"/>
      <protection/>
    </xf>
    <xf numFmtId="4" fontId="0" fillId="35" borderId="33" xfId="51" applyNumberFormat="1" applyFill="1" applyBorder="1" applyAlignment="1">
      <alignment horizontal="center"/>
      <protection/>
    </xf>
    <xf numFmtId="0" fontId="11" fillId="0" borderId="0" xfId="51" applyFont="1">
      <alignment/>
      <protection/>
    </xf>
    <xf numFmtId="10" fontId="0" fillId="35" borderId="32" xfId="51" applyNumberForma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18" xfId="55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>
      <alignment horizontal="left" vertical="center"/>
    </xf>
    <xf numFmtId="0" fontId="0" fillId="0" borderId="0" xfId="5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11" xfId="0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 wrapText="1"/>
    </xf>
    <xf numFmtId="4" fontId="5" fillId="0" borderId="18" xfId="55" applyNumberFormat="1" applyFont="1" applyFill="1" applyBorder="1" applyAlignment="1" applyProtection="1">
      <alignment horizontal="right" vertical="center"/>
      <protection/>
    </xf>
    <xf numFmtId="0" fontId="5" fillId="0" borderId="34" xfId="0" applyFont="1" applyBorder="1" applyAlignment="1">
      <alignment vertical="center" wrapText="1"/>
    </xf>
    <xf numFmtId="17" fontId="0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4" fontId="5" fillId="0" borderId="20" xfId="55" applyNumberFormat="1" applyFont="1" applyFill="1" applyBorder="1" applyAlignment="1" applyProtection="1">
      <alignment horizontal="right" vertical="center"/>
      <protection/>
    </xf>
    <xf numFmtId="4" fontId="5" fillId="0" borderId="20" xfId="55" applyNumberFormat="1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51" applyNumberFormat="1">
      <alignment/>
      <protection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0" fillId="0" borderId="29" xfId="51" applyFont="1" applyFill="1" applyBorder="1" applyAlignment="1">
      <alignment horizontal="left"/>
      <protection/>
    </xf>
    <xf numFmtId="0" fontId="0" fillId="0" borderId="29" xfId="51" applyFont="1" applyFill="1" applyBorder="1" applyAlignment="1">
      <alignment horizontal="left"/>
      <protection/>
    </xf>
    <xf numFmtId="0" fontId="0" fillId="0" borderId="35" xfId="51" applyFont="1" applyBorder="1" applyAlignment="1">
      <alignment horizontal="center"/>
      <protection/>
    </xf>
    <xf numFmtId="0" fontId="0" fillId="0" borderId="26" xfId="51" applyFont="1" applyBorder="1" applyAlignment="1">
      <alignment horizontal="center"/>
      <protection/>
    </xf>
    <xf numFmtId="0" fontId="0" fillId="0" borderId="36" xfId="51" applyFont="1" applyBorder="1" applyAlignment="1">
      <alignment horizontal="center"/>
      <protection/>
    </xf>
    <xf numFmtId="0" fontId="0" fillId="0" borderId="35" xfId="51" applyFont="1" applyFill="1" applyBorder="1" applyAlignment="1">
      <alignment horizontal="center"/>
      <protection/>
    </xf>
    <xf numFmtId="0" fontId="0" fillId="0" borderId="26" xfId="51" applyFont="1" applyFill="1" applyBorder="1" applyAlignment="1">
      <alignment horizontal="center"/>
      <protection/>
    </xf>
    <xf numFmtId="0" fontId="0" fillId="0" borderId="36" xfId="51" applyFont="1" applyFill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31" xfId="51" applyFont="1" applyBorder="1" applyAlignment="1">
      <alignment horizontal="center"/>
      <protection/>
    </xf>
    <xf numFmtId="0" fontId="9" fillId="0" borderId="28" xfId="51" applyFont="1" applyBorder="1" applyAlignment="1">
      <alignment horizontal="center"/>
      <protection/>
    </xf>
    <xf numFmtId="0" fontId="1" fillId="0" borderId="28" xfId="51" applyFont="1" applyBorder="1" applyAlignment="1">
      <alignment horizontal="center"/>
      <protection/>
    </xf>
    <xf numFmtId="0" fontId="1" fillId="35" borderId="28" xfId="51" applyFont="1" applyFill="1" applyBorder="1" applyAlignment="1">
      <alignment horizontal="center"/>
      <protection/>
    </xf>
    <xf numFmtId="4" fontId="0" fillId="33" borderId="30" xfId="51" applyNumberFormat="1" applyFill="1" applyBorder="1" applyAlignment="1">
      <alignment horizontal="center"/>
      <protection/>
    </xf>
    <xf numFmtId="0" fontId="0" fillId="0" borderId="31" xfId="51" applyFont="1" applyFill="1" applyBorder="1" applyAlignment="1">
      <alignment horizontal="left"/>
      <protection/>
    </xf>
    <xf numFmtId="10" fontId="0" fillId="34" borderId="32" xfId="51" applyNumberFormat="1" applyFill="1" applyBorder="1" applyAlignment="1">
      <alignment horizontal="center"/>
      <protection/>
    </xf>
    <xf numFmtId="0" fontId="1" fillId="35" borderId="30" xfId="51" applyFont="1" applyFill="1" applyBorder="1" applyAlignment="1">
      <alignment horizontal="center"/>
      <protection/>
    </xf>
    <xf numFmtId="4" fontId="0" fillId="35" borderId="37" xfId="51" applyNumberFormat="1" applyFill="1" applyBorder="1" applyAlignment="1">
      <alignment horizontal="center"/>
      <protection/>
    </xf>
    <xf numFmtId="4" fontId="0" fillId="35" borderId="38" xfId="51" applyNumberFormat="1" applyFill="1" applyBorder="1" applyAlignment="1">
      <alignment horizontal="center"/>
      <protection/>
    </xf>
    <xf numFmtId="0" fontId="0" fillId="0" borderId="39" xfId="51" applyFont="1" applyFill="1" applyBorder="1" applyAlignment="1">
      <alignment horizontal="left"/>
      <protection/>
    </xf>
    <xf numFmtId="0" fontId="0" fillId="0" borderId="27" xfId="51" applyFont="1" applyFill="1" applyBorder="1" applyAlignment="1">
      <alignment horizontal="left"/>
      <protection/>
    </xf>
    <xf numFmtId="0" fontId="0" fillId="0" borderId="40" xfId="51" applyFont="1" applyFill="1" applyBorder="1" applyAlignment="1">
      <alignment horizontal="left"/>
      <protection/>
    </xf>
    <xf numFmtId="10" fontId="0" fillId="34" borderId="41" xfId="51" applyNumberFormat="1" applyFill="1" applyBorder="1" applyAlignment="1">
      <alignment horizontal="center"/>
      <protection/>
    </xf>
    <xf numFmtId="10" fontId="0" fillId="34" borderId="42" xfId="51" applyNumberFormat="1" applyFill="1" applyBorder="1" applyAlignment="1">
      <alignment horizontal="center"/>
      <protection/>
    </xf>
    <xf numFmtId="10" fontId="0" fillId="35" borderId="32" xfId="51" applyNumberFormat="1" applyFill="1" applyBorder="1" applyAlignment="1">
      <alignment horizontal="center"/>
      <protection/>
    </xf>
    <xf numFmtId="0" fontId="1" fillId="35" borderId="32" xfId="51" applyFont="1" applyFill="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Border="1">
      <alignment/>
      <protection/>
    </xf>
    <xf numFmtId="0" fontId="5" fillId="0" borderId="0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zoomScale="90" zoomScaleNormal="90" workbookViewId="0" topLeftCell="A1">
      <pane ySplit="8" topLeftCell="A117" activePane="bottomLeft" state="frozen"/>
      <selection pane="topLeft" activeCell="A1" sqref="A1"/>
      <selection pane="bottomLeft" activeCell="F128" sqref="F128"/>
    </sheetView>
  </sheetViews>
  <sheetFormatPr defaultColWidth="9.140625" defaultRowHeight="12.75"/>
  <cols>
    <col min="1" max="1" width="1.8515625" style="1" customWidth="1"/>
    <col min="2" max="2" width="4.7109375" style="1" customWidth="1"/>
    <col min="3" max="3" width="9.8515625" style="1" hidden="1" customWidth="1"/>
    <col min="4" max="4" width="69.421875" style="1" customWidth="1"/>
    <col min="5" max="5" width="6.28125" style="1" customWidth="1"/>
    <col min="6" max="6" width="10.421875" style="2" customWidth="1"/>
    <col min="7" max="7" width="8.8515625" style="3" customWidth="1"/>
    <col min="8" max="8" width="11.57421875" style="4" bestFit="1" customWidth="1"/>
    <col min="9" max="9" width="8.8515625" style="3" customWidth="1"/>
    <col min="10" max="10" width="13.00390625" style="4" customWidth="1"/>
    <col min="11" max="11" width="9.8515625" style="3" bestFit="1" customWidth="1"/>
    <col min="12" max="12" width="11.57421875" style="4" customWidth="1"/>
    <col min="13" max="13" width="13.7109375" style="3" customWidth="1"/>
    <col min="14" max="14" width="9.140625" style="4" customWidth="1"/>
    <col min="15" max="16384" width="9.140625" style="1" customWidth="1"/>
  </cols>
  <sheetData>
    <row r="1" spans="2:13" ht="25.5">
      <c r="B1" s="6"/>
      <c r="C1" s="85"/>
      <c r="D1" s="7" t="s">
        <v>0</v>
      </c>
      <c r="E1" s="8"/>
      <c r="F1" s="8"/>
      <c r="G1" s="8"/>
      <c r="H1" s="9"/>
      <c r="I1" s="10"/>
      <c r="J1" s="9" t="s">
        <v>83</v>
      </c>
      <c r="K1" s="95">
        <v>40544</v>
      </c>
      <c r="L1" s="9"/>
      <c r="M1" s="11"/>
    </row>
    <row r="2" spans="2:13" ht="15.75">
      <c r="B2" s="12"/>
      <c r="D2" s="13"/>
      <c r="E2" s="14"/>
      <c r="F2" s="14"/>
      <c r="G2" s="14"/>
      <c r="M2" s="15"/>
    </row>
    <row r="3" spans="2:13" ht="15.75">
      <c r="B3" s="12"/>
      <c r="D3" s="13" t="s">
        <v>278</v>
      </c>
      <c r="M3" s="15"/>
    </row>
    <row r="4" spans="2:13" ht="15.75">
      <c r="B4" s="12"/>
      <c r="D4" s="13" t="s">
        <v>96</v>
      </c>
      <c r="E4" s="16"/>
      <c r="F4" s="16"/>
      <c r="G4" s="16"/>
      <c r="H4" s="16"/>
      <c r="I4" s="16"/>
      <c r="J4" s="99"/>
      <c r="K4" s="16"/>
      <c r="L4" s="16"/>
      <c r="M4" s="17"/>
    </row>
    <row r="5" spans="2:13" ht="16.5" thickBot="1">
      <c r="B5" s="18"/>
      <c r="C5" s="20"/>
      <c r="D5" s="19" t="s">
        <v>97</v>
      </c>
      <c r="E5" s="20"/>
      <c r="F5" s="21"/>
      <c r="G5" s="22"/>
      <c r="H5" s="23"/>
      <c r="I5" s="23"/>
      <c r="J5" s="23"/>
      <c r="K5" s="98"/>
      <c r="L5" s="23"/>
      <c r="M5" s="24"/>
    </row>
    <row r="6" spans="2:14" ht="12.75">
      <c r="B6" s="25"/>
      <c r="C6" s="25"/>
      <c r="D6" s="25"/>
      <c r="E6" s="25"/>
      <c r="F6" s="26"/>
      <c r="G6" s="27"/>
      <c r="H6" s="28"/>
      <c r="I6" s="27"/>
      <c r="J6" s="28"/>
      <c r="K6" s="27"/>
      <c r="L6" s="28"/>
      <c r="M6" s="27"/>
      <c r="N6" s="28"/>
    </row>
    <row r="7" spans="2:14" s="14" customFormat="1" ht="12.75">
      <c r="B7" s="114" t="s">
        <v>1</v>
      </c>
      <c r="C7" s="114" t="s">
        <v>98</v>
      </c>
      <c r="D7" s="114" t="s">
        <v>2</v>
      </c>
      <c r="E7" s="114" t="s">
        <v>3</v>
      </c>
      <c r="F7" s="115" t="s">
        <v>4</v>
      </c>
      <c r="G7" s="29" t="s">
        <v>5</v>
      </c>
      <c r="H7" s="29" t="s">
        <v>6</v>
      </c>
      <c r="I7" s="29" t="s">
        <v>5</v>
      </c>
      <c r="J7" s="29" t="s">
        <v>6</v>
      </c>
      <c r="K7" s="29" t="s">
        <v>5</v>
      </c>
      <c r="L7" s="29" t="s">
        <v>6</v>
      </c>
      <c r="M7" s="113" t="s">
        <v>6</v>
      </c>
      <c r="N7" s="27"/>
    </row>
    <row r="8" spans="2:14" s="14" customFormat="1" ht="12.75">
      <c r="B8" s="114"/>
      <c r="C8" s="114"/>
      <c r="D8" s="114"/>
      <c r="E8" s="114"/>
      <c r="F8" s="116"/>
      <c r="G8" s="30" t="s">
        <v>7</v>
      </c>
      <c r="H8" s="30" t="s">
        <v>7</v>
      </c>
      <c r="I8" s="30" t="s">
        <v>8</v>
      </c>
      <c r="J8" s="30" t="s">
        <v>8</v>
      </c>
      <c r="K8" s="30" t="s">
        <v>9</v>
      </c>
      <c r="L8" s="30" t="s">
        <v>9</v>
      </c>
      <c r="M8" s="113"/>
      <c r="N8" s="51" t="s">
        <v>88</v>
      </c>
    </row>
    <row r="9" spans="2:14" s="14" customFormat="1" ht="12.75">
      <c r="B9" s="31" t="s">
        <v>10</v>
      </c>
      <c r="C9" s="31"/>
      <c r="D9" s="31" t="s">
        <v>102</v>
      </c>
      <c r="E9" s="31"/>
      <c r="F9" s="32"/>
      <c r="G9" s="33"/>
      <c r="H9" s="33"/>
      <c r="I9" s="33"/>
      <c r="J9" s="33"/>
      <c r="K9" s="33"/>
      <c r="L9" s="34"/>
      <c r="M9" s="33"/>
      <c r="N9" s="27"/>
    </row>
    <row r="10" spans="1:14" ht="12.75">
      <c r="A10" s="77"/>
      <c r="B10" s="82" t="s">
        <v>11</v>
      </c>
      <c r="C10" s="36">
        <v>73610</v>
      </c>
      <c r="D10" s="35" t="s">
        <v>267</v>
      </c>
      <c r="E10" s="36" t="s">
        <v>12</v>
      </c>
      <c r="F10" s="37">
        <f>F24</f>
        <v>9947.47</v>
      </c>
      <c r="G10" s="38">
        <v>0.07</v>
      </c>
      <c r="H10" s="38">
        <f aca="true" t="shared" si="0" ref="H10:H15">G10*F10</f>
        <v>696.3229</v>
      </c>
      <c r="I10" s="38">
        <v>0.66</v>
      </c>
      <c r="J10" s="38">
        <f aca="true" t="shared" si="1" ref="J10:J15">I10*F10</f>
        <v>6565.3302</v>
      </c>
      <c r="K10" s="38">
        <v>1.1</v>
      </c>
      <c r="L10" s="39">
        <f aca="true" t="shared" si="2" ref="L10:L15">K10*F10</f>
        <v>10942.217</v>
      </c>
      <c r="M10" s="38">
        <f aca="true" t="shared" si="3" ref="M10:M15">L10+J10+H10</f>
        <v>18203.8701</v>
      </c>
      <c r="N10" s="51">
        <f aca="true" t="shared" si="4" ref="N10:N15">G10+I10+K10</f>
        <v>1.83</v>
      </c>
    </row>
    <row r="11" spans="1:14" ht="12.75">
      <c r="A11" s="77"/>
      <c r="B11" s="82" t="s">
        <v>13</v>
      </c>
      <c r="C11" s="36">
        <v>72824</v>
      </c>
      <c r="D11" s="76" t="s">
        <v>58</v>
      </c>
      <c r="E11" s="36" t="s">
        <v>15</v>
      </c>
      <c r="F11" s="37">
        <v>2843.73</v>
      </c>
      <c r="G11" s="38">
        <v>0.22</v>
      </c>
      <c r="H11" s="38">
        <f t="shared" si="0"/>
        <v>625.6206</v>
      </c>
      <c r="I11" s="38">
        <v>0</v>
      </c>
      <c r="J11" s="38">
        <f t="shared" si="1"/>
        <v>0</v>
      </c>
      <c r="K11" s="38">
        <v>5.32</v>
      </c>
      <c r="L11" s="39">
        <f t="shared" si="2"/>
        <v>15128.643600000001</v>
      </c>
      <c r="M11" s="38">
        <f t="shared" si="3"/>
        <v>15754.264200000001</v>
      </c>
      <c r="N11" s="51">
        <f t="shared" si="4"/>
        <v>5.54</v>
      </c>
    </row>
    <row r="12" spans="1:14" ht="27" customHeight="1">
      <c r="A12" s="77"/>
      <c r="B12" s="82" t="s">
        <v>14</v>
      </c>
      <c r="C12" s="88" t="s">
        <v>116</v>
      </c>
      <c r="D12" s="100" t="s">
        <v>117</v>
      </c>
      <c r="E12" s="88" t="s">
        <v>15</v>
      </c>
      <c r="F12" s="101">
        <v>1366.87</v>
      </c>
      <c r="G12" s="102">
        <v>0.19</v>
      </c>
      <c r="H12" s="102">
        <f t="shared" si="0"/>
        <v>259.70529999999997</v>
      </c>
      <c r="I12" s="102">
        <v>0</v>
      </c>
      <c r="J12" s="102">
        <f t="shared" si="1"/>
        <v>0</v>
      </c>
      <c r="K12" s="102">
        <v>4.65</v>
      </c>
      <c r="L12" s="103">
        <f t="shared" si="2"/>
        <v>6355.9455</v>
      </c>
      <c r="M12" s="102">
        <f t="shared" si="3"/>
        <v>6615.650799999999</v>
      </c>
      <c r="N12" s="97">
        <f t="shared" si="4"/>
        <v>4.840000000000001</v>
      </c>
    </row>
    <row r="13" spans="1:14" ht="12.75">
      <c r="A13" s="77"/>
      <c r="B13" s="82" t="s">
        <v>103</v>
      </c>
      <c r="C13" s="36" t="s">
        <v>132</v>
      </c>
      <c r="D13" s="76" t="s">
        <v>133</v>
      </c>
      <c r="E13" s="36" t="s">
        <v>15</v>
      </c>
      <c r="F13" s="37">
        <f>F12</f>
        <v>1366.87</v>
      </c>
      <c r="G13" s="38">
        <v>0.03</v>
      </c>
      <c r="H13" s="38">
        <f t="shared" si="0"/>
        <v>41.006099999999996</v>
      </c>
      <c r="I13" s="38">
        <v>0</v>
      </c>
      <c r="J13" s="38">
        <f t="shared" si="1"/>
        <v>0</v>
      </c>
      <c r="K13" s="38">
        <v>0.88</v>
      </c>
      <c r="L13" s="39">
        <f t="shared" si="2"/>
        <v>1202.8455999999999</v>
      </c>
      <c r="M13" s="38">
        <f t="shared" si="3"/>
        <v>1243.8517</v>
      </c>
      <c r="N13" s="51">
        <f t="shared" si="4"/>
        <v>0.91</v>
      </c>
    </row>
    <row r="14" spans="1:14" ht="12.75">
      <c r="A14" s="77"/>
      <c r="B14" s="82" t="s">
        <v>104</v>
      </c>
      <c r="C14" s="36" t="s">
        <v>60</v>
      </c>
      <c r="D14" s="35" t="s">
        <v>59</v>
      </c>
      <c r="E14" s="36" t="s">
        <v>15</v>
      </c>
      <c r="F14" s="37">
        <f>F11-F12</f>
        <v>1476.8600000000001</v>
      </c>
      <c r="G14" s="38">
        <v>0.35</v>
      </c>
      <c r="H14" s="38">
        <f t="shared" si="0"/>
        <v>516.9010000000001</v>
      </c>
      <c r="I14" s="38">
        <v>0</v>
      </c>
      <c r="J14" s="38">
        <f t="shared" si="1"/>
        <v>0</v>
      </c>
      <c r="K14" s="38">
        <v>8.53</v>
      </c>
      <c r="L14" s="39">
        <f t="shared" si="2"/>
        <v>12597.6158</v>
      </c>
      <c r="M14" s="38">
        <f t="shared" si="3"/>
        <v>13114.5168</v>
      </c>
      <c r="N14" s="51">
        <f t="shared" si="4"/>
        <v>8.879999999999999</v>
      </c>
    </row>
    <row r="15" spans="2:14" ht="12.75">
      <c r="B15" s="82" t="s">
        <v>105</v>
      </c>
      <c r="C15" s="36" t="s">
        <v>61</v>
      </c>
      <c r="D15" s="35" t="s">
        <v>34</v>
      </c>
      <c r="E15" s="36" t="s">
        <v>15</v>
      </c>
      <c r="F15" s="37">
        <f>F14</f>
        <v>1476.8600000000001</v>
      </c>
      <c r="G15" s="38">
        <v>0.1</v>
      </c>
      <c r="H15" s="38">
        <f t="shared" si="0"/>
        <v>147.686</v>
      </c>
      <c r="I15" s="38">
        <v>0</v>
      </c>
      <c r="J15" s="38">
        <f t="shared" si="1"/>
        <v>0</v>
      </c>
      <c r="K15" s="38">
        <v>2.47</v>
      </c>
      <c r="L15" s="39">
        <f t="shared" si="2"/>
        <v>3647.8442000000005</v>
      </c>
      <c r="M15" s="38">
        <f t="shared" si="3"/>
        <v>3795.5302000000006</v>
      </c>
      <c r="N15" s="51">
        <f t="shared" si="4"/>
        <v>2.5700000000000003</v>
      </c>
    </row>
    <row r="16" spans="2:14" ht="24">
      <c r="B16" s="82" t="s">
        <v>106</v>
      </c>
      <c r="C16" s="88" t="s">
        <v>70</v>
      </c>
      <c r="D16" s="104" t="s">
        <v>69</v>
      </c>
      <c r="E16" s="88" t="s">
        <v>15</v>
      </c>
      <c r="F16" s="105">
        <f>F21*0.3</f>
        <v>173.04</v>
      </c>
      <c r="G16" s="102">
        <v>0.45</v>
      </c>
      <c r="H16" s="102">
        <f aca="true" t="shared" si="5" ref="H16:H23">G16*F16</f>
        <v>77.868</v>
      </c>
      <c r="I16" s="102">
        <v>0</v>
      </c>
      <c r="J16" s="102">
        <f aca="true" t="shared" si="6" ref="J16:J23">I16*F16</f>
        <v>0</v>
      </c>
      <c r="K16" s="102">
        <v>10.96</v>
      </c>
      <c r="L16" s="103">
        <f aca="true" t="shared" si="7" ref="L16:L23">K16*F16</f>
        <v>1896.5184000000002</v>
      </c>
      <c r="M16" s="102">
        <f aca="true" t="shared" si="8" ref="M16:M23">L16+J16+H16</f>
        <v>1974.3864</v>
      </c>
      <c r="N16" s="97">
        <f aca="true" t="shared" si="9" ref="N16:N23">G16+I16+K16</f>
        <v>11.41</v>
      </c>
    </row>
    <row r="17" spans="2:14" ht="12.75">
      <c r="B17" s="82" t="s">
        <v>107</v>
      </c>
      <c r="C17" s="36" t="s">
        <v>72</v>
      </c>
      <c r="D17" s="35" t="s">
        <v>71</v>
      </c>
      <c r="E17" s="36" t="s">
        <v>15</v>
      </c>
      <c r="F17" s="106">
        <f>F21*0.2</f>
        <v>115.36</v>
      </c>
      <c r="G17" s="38">
        <v>0.59</v>
      </c>
      <c r="H17" s="38">
        <f t="shared" si="5"/>
        <v>68.0624</v>
      </c>
      <c r="I17" s="38">
        <v>0</v>
      </c>
      <c r="J17" s="38">
        <f t="shared" si="6"/>
        <v>0</v>
      </c>
      <c r="K17" s="38">
        <v>14.17</v>
      </c>
      <c r="L17" s="39">
        <f t="shared" si="7"/>
        <v>1634.6512</v>
      </c>
      <c r="M17" s="38">
        <f t="shared" si="8"/>
        <v>1702.7136</v>
      </c>
      <c r="N17" s="51">
        <f t="shared" si="9"/>
        <v>14.76</v>
      </c>
    </row>
    <row r="18" spans="2:14" ht="12.75">
      <c r="B18" s="82" t="s">
        <v>108</v>
      </c>
      <c r="C18" s="36" t="s">
        <v>62</v>
      </c>
      <c r="D18" s="40" t="s">
        <v>119</v>
      </c>
      <c r="E18" s="41" t="s">
        <v>15</v>
      </c>
      <c r="F18" s="106">
        <f>F16</f>
        <v>173.04</v>
      </c>
      <c r="G18" s="38">
        <v>2.81</v>
      </c>
      <c r="H18" s="38">
        <f>G18*F18</f>
        <v>486.2424</v>
      </c>
      <c r="I18" s="38">
        <v>0</v>
      </c>
      <c r="J18" s="38">
        <f>I18*F18</f>
        <v>0</v>
      </c>
      <c r="K18" s="38">
        <v>67.48</v>
      </c>
      <c r="L18" s="39">
        <f>K18*F18</f>
        <v>11676.7392</v>
      </c>
      <c r="M18" s="38">
        <f>L18+J18+H18</f>
        <v>12162.9816</v>
      </c>
      <c r="N18" s="51">
        <f>G18+I18+K18</f>
        <v>70.29</v>
      </c>
    </row>
    <row r="19" spans="2:14" ht="12.75">
      <c r="B19" s="82" t="s">
        <v>109</v>
      </c>
      <c r="C19" s="36">
        <v>72886</v>
      </c>
      <c r="D19" s="40" t="s">
        <v>310</v>
      </c>
      <c r="E19" s="41" t="s">
        <v>93</v>
      </c>
      <c r="F19" s="52">
        <f>F18*30</f>
        <v>5191.2</v>
      </c>
      <c r="G19" s="38">
        <v>0.04</v>
      </c>
      <c r="H19" s="38">
        <f>G19*F19</f>
        <v>207.648</v>
      </c>
      <c r="I19" s="38">
        <v>0</v>
      </c>
      <c r="J19" s="38">
        <f>I19*F19</f>
        <v>0</v>
      </c>
      <c r="K19" s="38">
        <v>0.98</v>
      </c>
      <c r="L19" s="39">
        <f>K19*F19</f>
        <v>5087.375999999999</v>
      </c>
      <c r="M19" s="38">
        <f>L19+J19+H19</f>
        <v>5295.023999999999</v>
      </c>
      <c r="N19" s="51">
        <f>G19+I19+K19</f>
        <v>1.02</v>
      </c>
    </row>
    <row r="20" spans="1:14" ht="12.75">
      <c r="A20" s="77"/>
      <c r="B20" s="82" t="s">
        <v>110</v>
      </c>
      <c r="C20" s="36" t="s">
        <v>134</v>
      </c>
      <c r="D20" s="76" t="s">
        <v>135</v>
      </c>
      <c r="E20" s="36" t="s">
        <v>15</v>
      </c>
      <c r="F20" s="37">
        <f>F18</f>
        <v>173.04</v>
      </c>
      <c r="G20" s="38">
        <v>0.03</v>
      </c>
      <c r="H20" s="38">
        <f>G20*F20</f>
        <v>5.191199999999999</v>
      </c>
      <c r="I20" s="38">
        <v>0</v>
      </c>
      <c r="J20" s="38">
        <f>I20*F20</f>
        <v>0</v>
      </c>
      <c r="K20" s="38">
        <v>0.8</v>
      </c>
      <c r="L20" s="39">
        <f>K20*F20</f>
        <v>138.432</v>
      </c>
      <c r="M20" s="38">
        <f>L20+J20+H20</f>
        <v>143.6232</v>
      </c>
      <c r="N20" s="51">
        <f>G20+I20+K20</f>
        <v>0.8300000000000001</v>
      </c>
    </row>
    <row r="21" spans="2:14" ht="12.75">
      <c r="B21" s="82" t="s">
        <v>111</v>
      </c>
      <c r="C21" s="36">
        <v>72945</v>
      </c>
      <c r="D21" s="35" t="s">
        <v>118</v>
      </c>
      <c r="E21" s="41" t="s">
        <v>12</v>
      </c>
      <c r="F21" s="52">
        <v>576.8</v>
      </c>
      <c r="G21" s="42">
        <v>0.15</v>
      </c>
      <c r="H21" s="38">
        <f t="shared" si="5"/>
        <v>86.52</v>
      </c>
      <c r="I21" s="42">
        <v>1.38</v>
      </c>
      <c r="J21" s="38">
        <f t="shared" si="6"/>
        <v>795.9839999999999</v>
      </c>
      <c r="K21" s="42">
        <v>2.31</v>
      </c>
      <c r="L21" s="39">
        <f t="shared" si="7"/>
        <v>1332.408</v>
      </c>
      <c r="M21" s="38">
        <f t="shared" si="8"/>
        <v>2214.912</v>
      </c>
      <c r="N21" s="51">
        <f t="shared" si="9"/>
        <v>3.84</v>
      </c>
    </row>
    <row r="22" spans="1:14" ht="12.75">
      <c r="A22" s="77"/>
      <c r="B22" s="82" t="s">
        <v>112</v>
      </c>
      <c r="C22" s="36" t="s">
        <v>136</v>
      </c>
      <c r="D22" s="76" t="s">
        <v>137</v>
      </c>
      <c r="E22" s="36" t="s">
        <v>12</v>
      </c>
      <c r="F22" s="37">
        <f>F21</f>
        <v>576.8</v>
      </c>
      <c r="G22" s="38">
        <v>0.01</v>
      </c>
      <c r="H22" s="38">
        <f>G22*F22</f>
        <v>5.768</v>
      </c>
      <c r="I22" s="38">
        <v>0</v>
      </c>
      <c r="J22" s="38">
        <f>I22*F22</f>
        <v>0</v>
      </c>
      <c r="K22" s="38">
        <v>0.02</v>
      </c>
      <c r="L22" s="39">
        <f>K22*F22</f>
        <v>11.536</v>
      </c>
      <c r="M22" s="38">
        <f>L22+J22+H22</f>
        <v>17.304</v>
      </c>
      <c r="N22" s="51">
        <f>G22+I22+K22</f>
        <v>0.03</v>
      </c>
    </row>
    <row r="23" spans="2:14" ht="12.75">
      <c r="B23" s="82" t="s">
        <v>113</v>
      </c>
      <c r="C23" s="36" t="s">
        <v>73</v>
      </c>
      <c r="D23" s="107" t="s">
        <v>131</v>
      </c>
      <c r="E23" s="41" t="s">
        <v>15</v>
      </c>
      <c r="F23" s="52">
        <v>35.67</v>
      </c>
      <c r="G23" s="52">
        <v>2.96</v>
      </c>
      <c r="H23" s="42">
        <f t="shared" si="5"/>
        <v>105.5832</v>
      </c>
      <c r="I23" s="42">
        <v>26.66</v>
      </c>
      <c r="J23" s="42">
        <f t="shared" si="6"/>
        <v>950.9622</v>
      </c>
      <c r="K23" s="42">
        <v>44.43</v>
      </c>
      <c r="L23" s="43">
        <f t="shared" si="7"/>
        <v>1584.8181</v>
      </c>
      <c r="M23" s="42">
        <f t="shared" si="8"/>
        <v>2641.3635</v>
      </c>
      <c r="N23" s="51">
        <f t="shared" si="9"/>
        <v>74.05</v>
      </c>
    </row>
    <row r="24" spans="2:14" ht="12.75">
      <c r="B24" s="82" t="s">
        <v>114</v>
      </c>
      <c r="C24" s="36">
        <v>72961</v>
      </c>
      <c r="D24" s="40" t="s">
        <v>31</v>
      </c>
      <c r="E24" s="41" t="s">
        <v>12</v>
      </c>
      <c r="F24" s="37">
        <v>9947.47</v>
      </c>
      <c r="G24" s="42">
        <v>0.07</v>
      </c>
      <c r="H24" s="38">
        <f aca="true" t="shared" si="10" ref="H24:H37">G24*F24</f>
        <v>696.3229</v>
      </c>
      <c r="I24" s="42">
        <v>0</v>
      </c>
      <c r="J24" s="38">
        <f aca="true" t="shared" si="11" ref="J24:J37">I24*F24</f>
        <v>0</v>
      </c>
      <c r="K24" s="42">
        <v>1.91</v>
      </c>
      <c r="L24" s="39">
        <f aca="true" t="shared" si="12" ref="L24:L37">K24*F24</f>
        <v>18999.667699999998</v>
      </c>
      <c r="M24" s="38">
        <f aca="true" t="shared" si="13" ref="M24:M38">L24+J24+H24</f>
        <v>19695.990599999997</v>
      </c>
      <c r="N24" s="51">
        <f aca="true" t="shared" si="14" ref="N24:N46">G24+I24+K24</f>
        <v>1.98</v>
      </c>
    </row>
    <row r="25" spans="1:14" ht="12.75">
      <c r="A25" s="77"/>
      <c r="B25" s="82" t="s">
        <v>115</v>
      </c>
      <c r="C25" s="36" t="s">
        <v>138</v>
      </c>
      <c r="D25" s="76" t="s">
        <v>139</v>
      </c>
      <c r="E25" s="36" t="s">
        <v>12</v>
      </c>
      <c r="F25" s="37">
        <f>F24</f>
        <v>9947.47</v>
      </c>
      <c r="G25" s="38">
        <v>0.01</v>
      </c>
      <c r="H25" s="38">
        <f>G25*F25</f>
        <v>99.4747</v>
      </c>
      <c r="I25" s="38">
        <v>0</v>
      </c>
      <c r="J25" s="38">
        <f>I25*F25</f>
        <v>0</v>
      </c>
      <c r="K25" s="38">
        <v>0.41</v>
      </c>
      <c r="L25" s="39">
        <f>K25*F25</f>
        <v>4078.4626999999996</v>
      </c>
      <c r="M25" s="38">
        <f t="shared" si="13"/>
        <v>4177.9374</v>
      </c>
      <c r="N25" s="51">
        <f t="shared" si="14"/>
        <v>0.42</v>
      </c>
    </row>
    <row r="26" spans="2:14" ht="12.75">
      <c r="B26" s="82" t="s">
        <v>120</v>
      </c>
      <c r="C26" s="36" t="s">
        <v>62</v>
      </c>
      <c r="D26" s="40" t="s">
        <v>129</v>
      </c>
      <c r="E26" s="41" t="s">
        <v>15</v>
      </c>
      <c r="F26" s="52">
        <f>F33*0.13</f>
        <v>1088.93083</v>
      </c>
      <c r="G26" s="38">
        <v>2.81</v>
      </c>
      <c r="H26" s="38">
        <f t="shared" si="10"/>
        <v>3059.8956323</v>
      </c>
      <c r="I26" s="38">
        <v>0</v>
      </c>
      <c r="J26" s="38">
        <f t="shared" si="11"/>
        <v>0</v>
      </c>
      <c r="K26" s="38">
        <v>67.48</v>
      </c>
      <c r="L26" s="39">
        <f t="shared" si="12"/>
        <v>73481.0524084</v>
      </c>
      <c r="M26" s="38">
        <f t="shared" si="13"/>
        <v>76540.94804070001</v>
      </c>
      <c r="N26" s="51">
        <f t="shared" si="14"/>
        <v>70.29</v>
      </c>
    </row>
    <row r="27" spans="2:14" ht="12.75">
      <c r="B27" s="82" t="s">
        <v>121</v>
      </c>
      <c r="C27" s="36">
        <v>72886</v>
      </c>
      <c r="D27" s="40" t="s">
        <v>310</v>
      </c>
      <c r="E27" s="41" t="s">
        <v>93</v>
      </c>
      <c r="F27" s="52">
        <f>F26*30</f>
        <v>32667.9249</v>
      </c>
      <c r="G27" s="38">
        <v>0.04</v>
      </c>
      <c r="H27" s="38">
        <f t="shared" si="10"/>
        <v>1306.716996</v>
      </c>
      <c r="I27" s="38">
        <v>0</v>
      </c>
      <c r="J27" s="38">
        <f t="shared" si="11"/>
        <v>0</v>
      </c>
      <c r="K27" s="38">
        <v>0.98</v>
      </c>
      <c r="L27" s="39">
        <f t="shared" si="12"/>
        <v>32014.566402</v>
      </c>
      <c r="M27" s="38">
        <f t="shared" si="13"/>
        <v>33321.283398</v>
      </c>
      <c r="N27" s="51">
        <f t="shared" si="14"/>
        <v>1.02</v>
      </c>
    </row>
    <row r="28" spans="1:14" ht="12.75">
      <c r="A28" s="77"/>
      <c r="B28" s="82" t="s">
        <v>122</v>
      </c>
      <c r="C28" s="36" t="s">
        <v>134</v>
      </c>
      <c r="D28" s="76" t="s">
        <v>135</v>
      </c>
      <c r="E28" s="36" t="s">
        <v>15</v>
      </c>
      <c r="F28" s="37">
        <f>F26</f>
        <v>1088.93083</v>
      </c>
      <c r="G28" s="38">
        <v>0.03</v>
      </c>
      <c r="H28" s="38">
        <f>G28*F28</f>
        <v>32.6679249</v>
      </c>
      <c r="I28" s="38">
        <v>0</v>
      </c>
      <c r="J28" s="38">
        <f>I28*F28</f>
        <v>0</v>
      </c>
      <c r="K28" s="38">
        <v>0.8</v>
      </c>
      <c r="L28" s="39">
        <f>K28*F28</f>
        <v>871.144664</v>
      </c>
      <c r="M28" s="38">
        <f t="shared" si="13"/>
        <v>903.8125889</v>
      </c>
      <c r="N28" s="51">
        <f t="shared" si="14"/>
        <v>0.8300000000000001</v>
      </c>
    </row>
    <row r="29" spans="2:14" ht="12.75">
      <c r="B29" s="82" t="s">
        <v>123</v>
      </c>
      <c r="C29" s="36">
        <v>73710</v>
      </c>
      <c r="D29" s="35" t="s">
        <v>128</v>
      </c>
      <c r="E29" s="41" t="s">
        <v>15</v>
      </c>
      <c r="F29" s="52">
        <f>F33*0.12</f>
        <v>1005.1669199999999</v>
      </c>
      <c r="G29" s="42">
        <v>4.33</v>
      </c>
      <c r="H29" s="38">
        <f t="shared" si="10"/>
        <v>4352.372763599999</v>
      </c>
      <c r="I29" s="42">
        <v>38.99</v>
      </c>
      <c r="J29" s="38">
        <f t="shared" si="11"/>
        <v>39191.458210799996</v>
      </c>
      <c r="K29" s="42">
        <v>64.99</v>
      </c>
      <c r="L29" s="39">
        <f t="shared" si="12"/>
        <v>65325.79813079999</v>
      </c>
      <c r="M29" s="38">
        <f t="shared" si="13"/>
        <v>108869.62910519997</v>
      </c>
      <c r="N29" s="51">
        <f t="shared" si="14"/>
        <v>108.31</v>
      </c>
    </row>
    <row r="30" spans="2:14" ht="12.75">
      <c r="B30" s="82" t="s">
        <v>124</v>
      </c>
      <c r="C30" s="36">
        <v>72887</v>
      </c>
      <c r="D30" s="40" t="s">
        <v>271</v>
      </c>
      <c r="E30" s="41" t="s">
        <v>93</v>
      </c>
      <c r="F30" s="52">
        <f>F29*28</f>
        <v>28144.673759999998</v>
      </c>
      <c r="G30" s="38">
        <v>0.03</v>
      </c>
      <c r="H30" s="38">
        <f>G30*F30</f>
        <v>844.3402127999999</v>
      </c>
      <c r="I30" s="38">
        <v>0</v>
      </c>
      <c r="J30" s="38">
        <f>I30*F30</f>
        <v>0</v>
      </c>
      <c r="K30" s="38">
        <v>0.82</v>
      </c>
      <c r="L30" s="39">
        <f>K30*F30</f>
        <v>23078.632483199995</v>
      </c>
      <c r="M30" s="38">
        <f t="shared" si="13"/>
        <v>23922.972695999997</v>
      </c>
      <c r="N30" s="51">
        <f t="shared" si="14"/>
        <v>0.85</v>
      </c>
    </row>
    <row r="31" spans="2:14" ht="12.75">
      <c r="B31" s="82" t="s">
        <v>125</v>
      </c>
      <c r="C31" s="36">
        <v>72886</v>
      </c>
      <c r="D31" s="40" t="s">
        <v>272</v>
      </c>
      <c r="E31" s="41" t="s">
        <v>93</v>
      </c>
      <c r="F31" s="52">
        <f>F29*62</f>
        <v>62320.349039999994</v>
      </c>
      <c r="G31" s="38">
        <v>0.04</v>
      </c>
      <c r="H31" s="38">
        <f t="shared" si="10"/>
        <v>2492.8139616</v>
      </c>
      <c r="I31" s="38">
        <v>0</v>
      </c>
      <c r="J31" s="38">
        <f t="shared" si="11"/>
        <v>0</v>
      </c>
      <c r="K31" s="38">
        <v>0.98</v>
      </c>
      <c r="L31" s="39">
        <f t="shared" si="12"/>
        <v>61073.942059199995</v>
      </c>
      <c r="M31" s="38">
        <f t="shared" si="13"/>
        <v>63566.75602079999</v>
      </c>
      <c r="N31" s="51">
        <f t="shared" si="14"/>
        <v>1.02</v>
      </c>
    </row>
    <row r="32" spans="1:14" ht="12.75">
      <c r="A32" s="77"/>
      <c r="B32" s="82" t="s">
        <v>126</v>
      </c>
      <c r="C32" s="36" t="s">
        <v>134</v>
      </c>
      <c r="D32" s="76" t="s">
        <v>140</v>
      </c>
      <c r="E32" s="36" t="s">
        <v>15</v>
      </c>
      <c r="F32" s="37">
        <f>F29</f>
        <v>1005.1669199999999</v>
      </c>
      <c r="G32" s="38">
        <v>0.03</v>
      </c>
      <c r="H32" s="38">
        <f>G32*F32</f>
        <v>30.155007599999994</v>
      </c>
      <c r="I32" s="38">
        <v>0</v>
      </c>
      <c r="J32" s="38">
        <f>I32*F32</f>
        <v>0</v>
      </c>
      <c r="K32" s="38">
        <v>0.8</v>
      </c>
      <c r="L32" s="39">
        <f>K32*F32</f>
        <v>804.1335359999999</v>
      </c>
      <c r="M32" s="38">
        <f t="shared" si="13"/>
        <v>834.2885435999999</v>
      </c>
      <c r="N32" s="51">
        <f t="shared" si="14"/>
        <v>0.8300000000000001</v>
      </c>
    </row>
    <row r="33" spans="2:14" ht="12.75">
      <c r="B33" s="82" t="s">
        <v>127</v>
      </c>
      <c r="C33" s="36">
        <v>72945</v>
      </c>
      <c r="D33" s="35" t="s">
        <v>63</v>
      </c>
      <c r="E33" s="41" t="s">
        <v>12</v>
      </c>
      <c r="F33" s="52">
        <f>8031.43+(1149.87*0.3)</f>
        <v>8376.391</v>
      </c>
      <c r="G33" s="42">
        <v>0.15</v>
      </c>
      <c r="H33" s="38">
        <f>G33*F33</f>
        <v>1256.4586499999998</v>
      </c>
      <c r="I33" s="42">
        <v>1.38</v>
      </c>
      <c r="J33" s="38">
        <f>I33*F33</f>
        <v>11559.419579999998</v>
      </c>
      <c r="K33" s="42">
        <v>2.31</v>
      </c>
      <c r="L33" s="39">
        <f>K33*F33</f>
        <v>19349.463209999998</v>
      </c>
      <c r="M33" s="38">
        <f t="shared" si="13"/>
        <v>32165.341439999997</v>
      </c>
      <c r="N33" s="51">
        <f t="shared" si="14"/>
        <v>3.84</v>
      </c>
    </row>
    <row r="34" spans="1:14" ht="12.75">
      <c r="A34" s="77"/>
      <c r="B34" s="82" t="s">
        <v>145</v>
      </c>
      <c r="C34" s="36" t="s">
        <v>136</v>
      </c>
      <c r="D34" s="76" t="s">
        <v>137</v>
      </c>
      <c r="E34" s="36" t="s">
        <v>12</v>
      </c>
      <c r="F34" s="37">
        <f>F33</f>
        <v>8376.391</v>
      </c>
      <c r="G34" s="38">
        <v>0.01</v>
      </c>
      <c r="H34" s="38">
        <f>G34*F34</f>
        <v>83.76391</v>
      </c>
      <c r="I34" s="38">
        <v>0</v>
      </c>
      <c r="J34" s="38">
        <f>I34*F34</f>
        <v>0</v>
      </c>
      <c r="K34" s="38">
        <v>0.02</v>
      </c>
      <c r="L34" s="39">
        <f>K34*F34</f>
        <v>167.52782</v>
      </c>
      <c r="M34" s="38">
        <f t="shared" si="13"/>
        <v>251.29172999999997</v>
      </c>
      <c r="N34" s="51">
        <f t="shared" si="14"/>
        <v>0.03</v>
      </c>
    </row>
    <row r="35" spans="2:14" ht="12.75">
      <c r="B35" s="82" t="s">
        <v>146</v>
      </c>
      <c r="C35" s="36">
        <v>72943</v>
      </c>
      <c r="D35" s="35" t="s">
        <v>64</v>
      </c>
      <c r="E35" s="41" t="s">
        <v>12</v>
      </c>
      <c r="F35" s="52">
        <f>F33</f>
        <v>8376.391</v>
      </c>
      <c r="G35" s="42">
        <v>0.06</v>
      </c>
      <c r="H35" s="38">
        <f t="shared" si="10"/>
        <v>502.58345999999995</v>
      </c>
      <c r="I35" s="42">
        <v>0.54</v>
      </c>
      <c r="J35" s="38">
        <f t="shared" si="11"/>
        <v>4523.25114</v>
      </c>
      <c r="K35" s="42">
        <v>0.9</v>
      </c>
      <c r="L35" s="39">
        <f t="shared" si="12"/>
        <v>7538.7519</v>
      </c>
      <c r="M35" s="38">
        <f t="shared" si="13"/>
        <v>12564.5865</v>
      </c>
      <c r="N35" s="51">
        <f t="shared" si="14"/>
        <v>1.5</v>
      </c>
    </row>
    <row r="36" spans="1:14" ht="12.75">
      <c r="A36" s="77"/>
      <c r="B36" s="82" t="s">
        <v>147</v>
      </c>
      <c r="C36" s="36">
        <v>74259</v>
      </c>
      <c r="D36" s="76" t="s">
        <v>141</v>
      </c>
      <c r="E36" s="36" t="s">
        <v>12</v>
      </c>
      <c r="F36" s="37">
        <f>F35</f>
        <v>8376.391</v>
      </c>
      <c r="G36" s="38">
        <v>0.01</v>
      </c>
      <c r="H36" s="38">
        <f>G36*F36</f>
        <v>83.76391</v>
      </c>
      <c r="I36" s="38">
        <v>0</v>
      </c>
      <c r="J36" s="38">
        <f>I36*F36</f>
        <v>0</v>
      </c>
      <c r="K36" s="38">
        <v>0.01</v>
      </c>
      <c r="L36" s="39">
        <f>K36*F36</f>
        <v>83.76391</v>
      </c>
      <c r="M36" s="38">
        <f t="shared" si="13"/>
        <v>167.52782</v>
      </c>
      <c r="N36" s="51">
        <f t="shared" si="14"/>
        <v>0.02</v>
      </c>
    </row>
    <row r="37" spans="2:14" ht="24">
      <c r="B37" s="82" t="s">
        <v>148</v>
      </c>
      <c r="C37" s="88">
        <v>72965</v>
      </c>
      <c r="D37" s="94" t="s">
        <v>94</v>
      </c>
      <c r="E37" s="78" t="s">
        <v>15</v>
      </c>
      <c r="F37" s="91">
        <f>F35*0.05</f>
        <v>418.81955</v>
      </c>
      <c r="G37" s="79">
        <v>24.59</v>
      </c>
      <c r="H37" s="79">
        <f t="shared" si="10"/>
        <v>10298.7727345</v>
      </c>
      <c r="I37" s="79">
        <v>221.33</v>
      </c>
      <c r="J37" s="79">
        <f t="shared" si="11"/>
        <v>92697.3310015</v>
      </c>
      <c r="K37" s="79">
        <v>368.89</v>
      </c>
      <c r="L37" s="80">
        <f t="shared" si="12"/>
        <v>154498.3437995</v>
      </c>
      <c r="M37" s="79">
        <f t="shared" si="13"/>
        <v>257494.4475355</v>
      </c>
      <c r="N37" s="97">
        <f t="shared" si="14"/>
        <v>614.81</v>
      </c>
    </row>
    <row r="38" spans="2:14" ht="12.75">
      <c r="B38" s="82" t="s">
        <v>149</v>
      </c>
      <c r="C38" s="36">
        <v>72887</v>
      </c>
      <c r="D38" s="40" t="s">
        <v>273</v>
      </c>
      <c r="E38" s="41" t="s">
        <v>93</v>
      </c>
      <c r="F38" s="52">
        <f>F37*70</f>
        <v>29317.3685</v>
      </c>
      <c r="G38" s="38">
        <v>0.03</v>
      </c>
      <c r="H38" s="38">
        <f>G38*F38</f>
        <v>879.5210549999999</v>
      </c>
      <c r="I38" s="38">
        <v>0</v>
      </c>
      <c r="J38" s="38">
        <f>I38*F38</f>
        <v>0</v>
      </c>
      <c r="K38" s="38">
        <v>0.82</v>
      </c>
      <c r="L38" s="39">
        <f>K38*F38</f>
        <v>24040.242169999998</v>
      </c>
      <c r="M38" s="38">
        <f t="shared" si="13"/>
        <v>24919.763225</v>
      </c>
      <c r="N38" s="51">
        <f>G38+I38+K38</f>
        <v>0.85</v>
      </c>
    </row>
    <row r="39" spans="2:14" ht="12.75">
      <c r="B39" s="82" t="s">
        <v>150</v>
      </c>
      <c r="C39" s="36">
        <v>72886</v>
      </c>
      <c r="D39" s="40" t="s">
        <v>274</v>
      </c>
      <c r="E39" s="41" t="s">
        <v>93</v>
      </c>
      <c r="F39" s="52">
        <f>F37*69</f>
        <v>28898.54895</v>
      </c>
      <c r="G39" s="38">
        <v>0.04</v>
      </c>
      <c r="H39" s="38">
        <f>G39*F39</f>
        <v>1155.941958</v>
      </c>
      <c r="I39" s="38">
        <v>0</v>
      </c>
      <c r="J39" s="38">
        <f>I39*F39</f>
        <v>0</v>
      </c>
      <c r="K39" s="38">
        <v>0.98</v>
      </c>
      <c r="L39" s="39">
        <f>K39*F39</f>
        <v>28320.577971</v>
      </c>
      <c r="M39" s="38">
        <f aca="true" t="shared" si="15" ref="M39:M46">L39+J39+H39</f>
        <v>29476.519929</v>
      </c>
      <c r="N39" s="51">
        <f t="shared" si="14"/>
        <v>1.02</v>
      </c>
    </row>
    <row r="40" spans="2:14" ht="24">
      <c r="B40" s="82" t="s">
        <v>151</v>
      </c>
      <c r="C40" s="88">
        <v>72891</v>
      </c>
      <c r="D40" s="94" t="s">
        <v>95</v>
      </c>
      <c r="E40" s="78" t="s">
        <v>15</v>
      </c>
      <c r="F40" s="91">
        <f>F37</f>
        <v>418.81955</v>
      </c>
      <c r="G40" s="79">
        <v>0.17</v>
      </c>
      <c r="H40" s="79">
        <f aca="true" t="shared" si="16" ref="H40:H46">G40*F40</f>
        <v>71.1993235</v>
      </c>
      <c r="I40" s="79">
        <v>0</v>
      </c>
      <c r="J40" s="79">
        <f aca="true" t="shared" si="17" ref="J40:J46">I40*F40</f>
        <v>0</v>
      </c>
      <c r="K40" s="79">
        <v>4.31</v>
      </c>
      <c r="L40" s="80">
        <f aca="true" t="shared" si="18" ref="L40:L46">K40*F40</f>
        <v>1805.1122604999998</v>
      </c>
      <c r="M40" s="79">
        <f t="shared" si="15"/>
        <v>1876.3115839999998</v>
      </c>
      <c r="N40" s="97">
        <f t="shared" si="14"/>
        <v>4.4799999999999995</v>
      </c>
    </row>
    <row r="41" spans="1:14" ht="12.75">
      <c r="A41" s="77"/>
      <c r="B41" s="82" t="s">
        <v>152</v>
      </c>
      <c r="C41" s="36" t="s">
        <v>142</v>
      </c>
      <c r="D41" s="76" t="s">
        <v>143</v>
      </c>
      <c r="E41" s="36" t="s">
        <v>144</v>
      </c>
      <c r="F41" s="37">
        <f>F37*2.55</f>
        <v>1067.9898524999999</v>
      </c>
      <c r="G41" s="38">
        <v>0.96</v>
      </c>
      <c r="H41" s="38">
        <f t="shared" si="16"/>
        <v>1025.2702583999999</v>
      </c>
      <c r="I41" s="38">
        <v>0</v>
      </c>
      <c r="J41" s="38">
        <f t="shared" si="17"/>
        <v>0</v>
      </c>
      <c r="K41" s="38">
        <v>23.11</v>
      </c>
      <c r="L41" s="39">
        <f t="shared" si="18"/>
        <v>24681.245491274996</v>
      </c>
      <c r="M41" s="38">
        <f t="shared" si="15"/>
        <v>25706.515749674996</v>
      </c>
      <c r="N41" s="51">
        <f t="shared" si="14"/>
        <v>24.07</v>
      </c>
    </row>
    <row r="42" spans="2:14" ht="12.75">
      <c r="B42" s="82" t="s">
        <v>153</v>
      </c>
      <c r="C42" s="36">
        <v>7011</v>
      </c>
      <c r="D42" s="35" t="s">
        <v>75</v>
      </c>
      <c r="E42" s="41" t="s">
        <v>33</v>
      </c>
      <c r="F42" s="52">
        <v>1823.3</v>
      </c>
      <c r="G42" s="42">
        <v>0.12</v>
      </c>
      <c r="H42" s="38">
        <f t="shared" si="16"/>
        <v>218.796</v>
      </c>
      <c r="I42" s="42">
        <v>0</v>
      </c>
      <c r="J42" s="38">
        <f t="shared" si="17"/>
        <v>0</v>
      </c>
      <c r="K42" s="42">
        <v>3</v>
      </c>
      <c r="L42" s="39">
        <f t="shared" si="18"/>
        <v>5469.9</v>
      </c>
      <c r="M42" s="38">
        <f t="shared" si="15"/>
        <v>5688.696</v>
      </c>
      <c r="N42" s="51">
        <f t="shared" si="14"/>
        <v>3.12</v>
      </c>
    </row>
    <row r="43" spans="2:14" ht="12.75">
      <c r="B43" s="82" t="s">
        <v>266</v>
      </c>
      <c r="C43" s="36" t="s">
        <v>65</v>
      </c>
      <c r="D43" s="35" t="s">
        <v>32</v>
      </c>
      <c r="E43" s="41" t="s">
        <v>33</v>
      </c>
      <c r="F43" s="52">
        <f>F42</f>
        <v>1823.3</v>
      </c>
      <c r="G43" s="42">
        <v>1.29</v>
      </c>
      <c r="H43" s="38">
        <f t="shared" si="16"/>
        <v>2352.057</v>
      </c>
      <c r="I43" s="42">
        <v>11.66</v>
      </c>
      <c r="J43" s="38">
        <f t="shared" si="17"/>
        <v>21259.678</v>
      </c>
      <c r="K43" s="42">
        <v>19.44</v>
      </c>
      <c r="L43" s="39">
        <f t="shared" si="18"/>
        <v>35444.952000000005</v>
      </c>
      <c r="M43" s="38">
        <f t="shared" si="15"/>
        <v>59056.687000000005</v>
      </c>
      <c r="N43" s="51">
        <f t="shared" si="14"/>
        <v>32.39</v>
      </c>
    </row>
    <row r="44" spans="2:14" ht="12.75">
      <c r="B44" s="82" t="s">
        <v>275</v>
      </c>
      <c r="C44" s="36" t="s">
        <v>67</v>
      </c>
      <c r="D44" s="35" t="s">
        <v>66</v>
      </c>
      <c r="E44" s="41" t="s">
        <v>12</v>
      </c>
      <c r="F44" s="52">
        <f>F43*0.27</f>
        <v>492.291</v>
      </c>
      <c r="G44" s="42">
        <v>0.24</v>
      </c>
      <c r="H44" s="38">
        <f t="shared" si="16"/>
        <v>118.14984</v>
      </c>
      <c r="I44" s="42">
        <v>2.21</v>
      </c>
      <c r="J44" s="38">
        <f t="shared" si="17"/>
        <v>1087.96311</v>
      </c>
      <c r="K44" s="42">
        <v>3.68</v>
      </c>
      <c r="L44" s="39">
        <f t="shared" si="18"/>
        <v>1811.6308800000002</v>
      </c>
      <c r="M44" s="38">
        <f t="shared" si="15"/>
        <v>3017.7438300000003</v>
      </c>
      <c r="N44" s="51">
        <f t="shared" si="14"/>
        <v>6.130000000000001</v>
      </c>
    </row>
    <row r="45" spans="2:14" ht="24">
      <c r="B45" s="82" t="s">
        <v>308</v>
      </c>
      <c r="C45" s="88">
        <v>72947</v>
      </c>
      <c r="D45" s="92" t="s">
        <v>130</v>
      </c>
      <c r="E45" s="78" t="s">
        <v>12</v>
      </c>
      <c r="F45" s="93">
        <f>(975.96*0.15)+(15*4*0.4)*10</f>
        <v>386.394</v>
      </c>
      <c r="G45" s="79">
        <v>0.67</v>
      </c>
      <c r="H45" s="79">
        <f t="shared" si="16"/>
        <v>258.88398</v>
      </c>
      <c r="I45" s="79">
        <v>6.11</v>
      </c>
      <c r="J45" s="79">
        <f t="shared" si="17"/>
        <v>2360.8673400000002</v>
      </c>
      <c r="K45" s="79">
        <v>10.19</v>
      </c>
      <c r="L45" s="80">
        <f t="shared" si="18"/>
        <v>3937.35486</v>
      </c>
      <c r="M45" s="79">
        <f t="shared" si="15"/>
        <v>6557.10618</v>
      </c>
      <c r="N45" s="97">
        <f t="shared" si="14"/>
        <v>16.97</v>
      </c>
    </row>
    <row r="46" spans="2:14" ht="13.5" thickBot="1">
      <c r="B46" s="82" t="s">
        <v>309</v>
      </c>
      <c r="C46" s="88" t="s">
        <v>74</v>
      </c>
      <c r="D46" s="40" t="s">
        <v>52</v>
      </c>
      <c r="E46" s="41" t="s">
        <v>12</v>
      </c>
      <c r="F46" s="81">
        <f>11*0.5</f>
        <v>5.5</v>
      </c>
      <c r="G46" s="42">
        <v>14.93</v>
      </c>
      <c r="H46" s="42">
        <f t="shared" si="16"/>
        <v>82.115</v>
      </c>
      <c r="I46" s="42">
        <v>134.38</v>
      </c>
      <c r="J46" s="42">
        <f t="shared" si="17"/>
        <v>739.0899999999999</v>
      </c>
      <c r="K46" s="42">
        <v>223.97</v>
      </c>
      <c r="L46" s="43">
        <f t="shared" si="18"/>
        <v>1231.835</v>
      </c>
      <c r="M46" s="42">
        <f t="shared" si="15"/>
        <v>2053.04</v>
      </c>
      <c r="N46" s="51">
        <f t="shared" si="14"/>
        <v>373.28</v>
      </c>
    </row>
    <row r="47" spans="2:14" s="14" customFormat="1" ht="13.5" thickBot="1">
      <c r="B47" s="44"/>
      <c r="C47" s="86"/>
      <c r="D47" s="45" t="s">
        <v>6</v>
      </c>
      <c r="E47" s="46"/>
      <c r="F47" s="47"/>
      <c r="G47" s="48"/>
      <c r="H47" s="48">
        <f>SUM(H10:H46)</f>
        <v>34632.1622782</v>
      </c>
      <c r="I47" s="48"/>
      <c r="J47" s="48">
        <f>SUM(J10:J46)</f>
        <v>181731.33478230002</v>
      </c>
      <c r="K47" s="49"/>
      <c r="L47" s="48">
        <f>SUM(L10:L46)</f>
        <v>661345.6919558748</v>
      </c>
      <c r="M47" s="50">
        <f>H47+J47+L47</f>
        <v>877709.1890163748</v>
      </c>
      <c r="N47" s="27"/>
    </row>
    <row r="48" spans="2:14" ht="12.75">
      <c r="B48" s="25"/>
      <c r="C48" s="54"/>
      <c r="D48" s="25"/>
      <c r="E48" s="25"/>
      <c r="F48" s="26"/>
      <c r="G48" s="27"/>
      <c r="H48" s="28"/>
      <c r="I48" s="27"/>
      <c r="J48" s="28"/>
      <c r="K48" s="27"/>
      <c r="L48" s="28"/>
      <c r="M48" s="27"/>
      <c r="N48" s="27"/>
    </row>
    <row r="49" spans="2:14" s="14" customFormat="1" ht="12.75">
      <c r="B49" s="31" t="s">
        <v>16</v>
      </c>
      <c r="C49" s="31"/>
      <c r="D49" s="31" t="s">
        <v>239</v>
      </c>
      <c r="E49" s="31"/>
      <c r="F49" s="32"/>
      <c r="G49" s="33"/>
      <c r="H49" s="33"/>
      <c r="I49" s="33"/>
      <c r="J49" s="33"/>
      <c r="K49" s="33"/>
      <c r="L49" s="34"/>
      <c r="M49" s="33"/>
      <c r="N49" s="27"/>
    </row>
    <row r="50" spans="1:14" ht="12.75">
      <c r="A50" s="77"/>
      <c r="B50" s="82" t="s">
        <v>17</v>
      </c>
      <c r="C50" s="36">
        <v>73610</v>
      </c>
      <c r="D50" s="35" t="s">
        <v>267</v>
      </c>
      <c r="E50" s="36" t="s">
        <v>12</v>
      </c>
      <c r="F50" s="37">
        <f>F64</f>
        <v>2392.21</v>
      </c>
      <c r="G50" s="38">
        <v>0.07</v>
      </c>
      <c r="H50" s="38">
        <f aca="true" t="shared" si="19" ref="H50:H57">G50*F50</f>
        <v>167.45470000000003</v>
      </c>
      <c r="I50" s="38">
        <v>0.66</v>
      </c>
      <c r="J50" s="38">
        <f aca="true" t="shared" si="20" ref="J50:J57">I50*F50</f>
        <v>1578.8586</v>
      </c>
      <c r="K50" s="38">
        <v>1.1</v>
      </c>
      <c r="L50" s="39">
        <f aca="true" t="shared" si="21" ref="L50:L57">K50*F50</f>
        <v>2631.431</v>
      </c>
      <c r="M50" s="38">
        <f>L50+J50+H50</f>
        <v>4377.7443</v>
      </c>
      <c r="N50" s="51">
        <f>G50+I50+K50</f>
        <v>1.83</v>
      </c>
    </row>
    <row r="51" spans="1:14" ht="12.75">
      <c r="A51" s="77"/>
      <c r="B51" s="82" t="s">
        <v>18</v>
      </c>
      <c r="C51" s="36">
        <v>72824</v>
      </c>
      <c r="D51" s="76" t="s">
        <v>58</v>
      </c>
      <c r="E51" s="36" t="s">
        <v>15</v>
      </c>
      <c r="F51" s="37">
        <v>935.38</v>
      </c>
      <c r="G51" s="38">
        <v>0.22</v>
      </c>
      <c r="H51" s="38">
        <f t="shared" si="19"/>
        <v>205.7836</v>
      </c>
      <c r="I51" s="38">
        <v>0</v>
      </c>
      <c r="J51" s="38">
        <f t="shared" si="20"/>
        <v>0</v>
      </c>
      <c r="K51" s="38">
        <v>5.32</v>
      </c>
      <c r="L51" s="39">
        <f t="shared" si="21"/>
        <v>4976.2216</v>
      </c>
      <c r="M51" s="38">
        <f aca="true" t="shared" si="22" ref="M51:M59">L51+J51+H51</f>
        <v>5182.0052</v>
      </c>
      <c r="N51" s="51">
        <f aca="true" t="shared" si="23" ref="N51:N59">G51+I51+K51</f>
        <v>5.54</v>
      </c>
    </row>
    <row r="52" spans="1:14" ht="27" customHeight="1">
      <c r="A52" s="77"/>
      <c r="B52" s="82" t="s">
        <v>19</v>
      </c>
      <c r="C52" s="88" t="s">
        <v>116</v>
      </c>
      <c r="D52" s="100" t="s">
        <v>117</v>
      </c>
      <c r="E52" s="88" t="s">
        <v>15</v>
      </c>
      <c r="F52" s="101">
        <v>413.77</v>
      </c>
      <c r="G52" s="102">
        <v>0.19</v>
      </c>
      <c r="H52" s="102">
        <f t="shared" si="19"/>
        <v>78.6163</v>
      </c>
      <c r="I52" s="102">
        <v>0</v>
      </c>
      <c r="J52" s="102">
        <f t="shared" si="20"/>
        <v>0</v>
      </c>
      <c r="K52" s="102">
        <v>4.65</v>
      </c>
      <c r="L52" s="103">
        <f t="shared" si="21"/>
        <v>1924.0305</v>
      </c>
      <c r="M52" s="102">
        <f t="shared" si="22"/>
        <v>2002.6468</v>
      </c>
      <c r="N52" s="97">
        <f t="shared" si="23"/>
        <v>4.840000000000001</v>
      </c>
    </row>
    <row r="53" spans="1:14" ht="12.75">
      <c r="A53" s="77"/>
      <c r="B53" s="82" t="s">
        <v>20</v>
      </c>
      <c r="C53" s="36" t="s">
        <v>132</v>
      </c>
      <c r="D53" s="76" t="s">
        <v>133</v>
      </c>
      <c r="E53" s="36" t="s">
        <v>15</v>
      </c>
      <c r="F53" s="37">
        <f>F52</f>
        <v>413.77</v>
      </c>
      <c r="G53" s="38">
        <v>0.03</v>
      </c>
      <c r="H53" s="38">
        <f t="shared" si="19"/>
        <v>12.413099999999998</v>
      </c>
      <c r="I53" s="38">
        <v>0</v>
      </c>
      <c r="J53" s="38">
        <f t="shared" si="20"/>
        <v>0</v>
      </c>
      <c r="K53" s="38">
        <v>0.88</v>
      </c>
      <c r="L53" s="39">
        <f t="shared" si="21"/>
        <v>364.1176</v>
      </c>
      <c r="M53" s="38">
        <f t="shared" si="22"/>
        <v>376.53069999999997</v>
      </c>
      <c r="N53" s="51">
        <f t="shared" si="23"/>
        <v>0.91</v>
      </c>
    </row>
    <row r="54" spans="1:14" ht="12.75">
      <c r="A54" s="77"/>
      <c r="B54" s="82" t="s">
        <v>35</v>
      </c>
      <c r="C54" s="36" t="s">
        <v>60</v>
      </c>
      <c r="D54" s="35" t="s">
        <v>59</v>
      </c>
      <c r="E54" s="36" t="s">
        <v>15</v>
      </c>
      <c r="F54" s="37">
        <f>F51-F52</f>
        <v>521.61</v>
      </c>
      <c r="G54" s="38">
        <v>0.35</v>
      </c>
      <c r="H54" s="38">
        <f t="shared" si="19"/>
        <v>182.5635</v>
      </c>
      <c r="I54" s="38">
        <v>0</v>
      </c>
      <c r="J54" s="38">
        <f t="shared" si="20"/>
        <v>0</v>
      </c>
      <c r="K54" s="38">
        <v>8.53</v>
      </c>
      <c r="L54" s="39">
        <f t="shared" si="21"/>
        <v>4449.3333</v>
      </c>
      <c r="M54" s="38">
        <f t="shared" si="22"/>
        <v>4631.8968</v>
      </c>
      <c r="N54" s="51">
        <f t="shared" si="23"/>
        <v>8.879999999999999</v>
      </c>
    </row>
    <row r="55" spans="2:14" ht="12.75">
      <c r="B55" s="82" t="s">
        <v>36</v>
      </c>
      <c r="C55" s="36" t="s">
        <v>61</v>
      </c>
      <c r="D55" s="35" t="s">
        <v>34</v>
      </c>
      <c r="E55" s="36" t="s">
        <v>15</v>
      </c>
      <c r="F55" s="37">
        <f>F54</f>
        <v>521.61</v>
      </c>
      <c r="G55" s="38">
        <v>0.1</v>
      </c>
      <c r="H55" s="38">
        <f t="shared" si="19"/>
        <v>52.161</v>
      </c>
      <c r="I55" s="38">
        <v>0</v>
      </c>
      <c r="J55" s="38">
        <f t="shared" si="20"/>
        <v>0</v>
      </c>
      <c r="K55" s="38">
        <v>2.47</v>
      </c>
      <c r="L55" s="39">
        <f t="shared" si="21"/>
        <v>1288.3767</v>
      </c>
      <c r="M55" s="38">
        <f t="shared" si="22"/>
        <v>1340.5377</v>
      </c>
      <c r="N55" s="51">
        <f t="shared" si="23"/>
        <v>2.5700000000000003</v>
      </c>
    </row>
    <row r="56" spans="2:14" ht="24">
      <c r="B56" s="82" t="s">
        <v>37</v>
      </c>
      <c r="C56" s="88" t="s">
        <v>70</v>
      </c>
      <c r="D56" s="104" t="s">
        <v>69</v>
      </c>
      <c r="E56" s="88" t="s">
        <v>15</v>
      </c>
      <c r="F56" s="105">
        <f>F61*0.3</f>
        <v>12.87</v>
      </c>
      <c r="G56" s="102">
        <v>0.45</v>
      </c>
      <c r="H56" s="102">
        <f t="shared" si="19"/>
        <v>5.7915</v>
      </c>
      <c r="I56" s="102">
        <v>0</v>
      </c>
      <c r="J56" s="102">
        <f t="shared" si="20"/>
        <v>0</v>
      </c>
      <c r="K56" s="102">
        <v>10.96</v>
      </c>
      <c r="L56" s="103">
        <f t="shared" si="21"/>
        <v>141.0552</v>
      </c>
      <c r="M56" s="102">
        <f t="shared" si="22"/>
        <v>146.84670000000003</v>
      </c>
      <c r="N56" s="97">
        <f t="shared" si="23"/>
        <v>11.41</v>
      </c>
    </row>
    <row r="57" spans="2:14" ht="12.75">
      <c r="B57" s="82" t="s">
        <v>38</v>
      </c>
      <c r="C57" s="36" t="s">
        <v>72</v>
      </c>
      <c r="D57" s="35" t="s">
        <v>71</v>
      </c>
      <c r="E57" s="36" t="s">
        <v>15</v>
      </c>
      <c r="F57" s="106">
        <f>F61*0.2</f>
        <v>8.58</v>
      </c>
      <c r="G57" s="38">
        <v>0.59</v>
      </c>
      <c r="H57" s="38">
        <f t="shared" si="19"/>
        <v>5.0622</v>
      </c>
      <c r="I57" s="38">
        <v>0</v>
      </c>
      <c r="J57" s="38">
        <f t="shared" si="20"/>
        <v>0</v>
      </c>
      <c r="K57" s="38">
        <v>14.17</v>
      </c>
      <c r="L57" s="39">
        <f t="shared" si="21"/>
        <v>121.5786</v>
      </c>
      <c r="M57" s="38">
        <f t="shared" si="22"/>
        <v>126.6408</v>
      </c>
      <c r="N57" s="51">
        <f t="shared" si="23"/>
        <v>14.76</v>
      </c>
    </row>
    <row r="58" spans="2:14" ht="12.75">
      <c r="B58" s="82" t="s">
        <v>68</v>
      </c>
      <c r="C58" s="36" t="s">
        <v>62</v>
      </c>
      <c r="D58" s="40" t="s">
        <v>119</v>
      </c>
      <c r="E58" s="41" t="s">
        <v>15</v>
      </c>
      <c r="F58" s="106">
        <f>F56</f>
        <v>12.87</v>
      </c>
      <c r="G58" s="38">
        <v>2.81</v>
      </c>
      <c r="H58" s="38">
        <f aca="true" t="shared" si="24" ref="H58:H79">G58*F58</f>
        <v>36.164699999999996</v>
      </c>
      <c r="I58" s="38">
        <v>0</v>
      </c>
      <c r="J58" s="38">
        <f aca="true" t="shared" si="25" ref="J58:J79">I58*F58</f>
        <v>0</v>
      </c>
      <c r="K58" s="38">
        <v>67.48</v>
      </c>
      <c r="L58" s="39">
        <f aca="true" t="shared" si="26" ref="L58:L79">K58*F58</f>
        <v>868.4676</v>
      </c>
      <c r="M58" s="38">
        <f t="shared" si="22"/>
        <v>904.6323</v>
      </c>
      <c r="N58" s="51">
        <f t="shared" si="23"/>
        <v>70.29</v>
      </c>
    </row>
    <row r="59" spans="2:14" ht="12.75">
      <c r="B59" s="82" t="s">
        <v>154</v>
      </c>
      <c r="C59" s="36">
        <v>72886</v>
      </c>
      <c r="D59" s="40" t="s">
        <v>310</v>
      </c>
      <c r="E59" s="41" t="s">
        <v>93</v>
      </c>
      <c r="F59" s="52">
        <f>F58*30</f>
        <v>386.09999999999997</v>
      </c>
      <c r="G59" s="38">
        <v>0.04</v>
      </c>
      <c r="H59" s="38">
        <f t="shared" si="24"/>
        <v>15.443999999999999</v>
      </c>
      <c r="I59" s="38">
        <v>0</v>
      </c>
      <c r="J59" s="38">
        <f t="shared" si="25"/>
        <v>0</v>
      </c>
      <c r="K59" s="38">
        <v>0.98</v>
      </c>
      <c r="L59" s="39">
        <f t="shared" si="26"/>
        <v>378.378</v>
      </c>
      <c r="M59" s="38">
        <f t="shared" si="22"/>
        <v>393.822</v>
      </c>
      <c r="N59" s="51">
        <f t="shared" si="23"/>
        <v>1.02</v>
      </c>
    </row>
    <row r="60" spans="1:14" ht="12.75">
      <c r="A60" s="77"/>
      <c r="B60" s="82" t="s">
        <v>155</v>
      </c>
      <c r="C60" s="36" t="s">
        <v>134</v>
      </c>
      <c r="D60" s="76" t="s">
        <v>135</v>
      </c>
      <c r="E60" s="36" t="s">
        <v>15</v>
      </c>
      <c r="F60" s="37">
        <f>F58</f>
        <v>12.87</v>
      </c>
      <c r="G60" s="38">
        <v>0.03</v>
      </c>
      <c r="H60" s="38">
        <f t="shared" si="24"/>
        <v>0.38609999999999994</v>
      </c>
      <c r="I60" s="38">
        <v>0</v>
      </c>
      <c r="J60" s="38">
        <f t="shared" si="25"/>
        <v>0</v>
      </c>
      <c r="K60" s="38">
        <v>0.8</v>
      </c>
      <c r="L60" s="39">
        <f t="shared" si="26"/>
        <v>10.296</v>
      </c>
      <c r="M60" s="38">
        <f aca="true" t="shared" si="27" ref="M60:M86">L60+J60+H60</f>
        <v>10.6821</v>
      </c>
      <c r="N60" s="51">
        <f aca="true" t="shared" si="28" ref="N60:N86">G60+I60+K60</f>
        <v>0.8300000000000001</v>
      </c>
    </row>
    <row r="61" spans="2:14" ht="12.75">
      <c r="B61" s="82" t="s">
        <v>156</v>
      </c>
      <c r="C61" s="36">
        <v>72945</v>
      </c>
      <c r="D61" s="35" t="s">
        <v>118</v>
      </c>
      <c r="E61" s="41" t="s">
        <v>12</v>
      </c>
      <c r="F61" s="52">
        <v>42.9</v>
      </c>
      <c r="G61" s="42">
        <v>0.15</v>
      </c>
      <c r="H61" s="38">
        <f t="shared" si="24"/>
        <v>6.435</v>
      </c>
      <c r="I61" s="42">
        <v>1.38</v>
      </c>
      <c r="J61" s="38">
        <f t="shared" si="25"/>
        <v>59.20199999999999</v>
      </c>
      <c r="K61" s="42">
        <v>2.31</v>
      </c>
      <c r="L61" s="39">
        <f t="shared" si="26"/>
        <v>99.099</v>
      </c>
      <c r="M61" s="38">
        <f t="shared" si="27"/>
        <v>164.736</v>
      </c>
      <c r="N61" s="51">
        <f t="shared" si="28"/>
        <v>3.84</v>
      </c>
    </row>
    <row r="62" spans="1:14" ht="12.75">
      <c r="A62" s="77"/>
      <c r="B62" s="82" t="s">
        <v>157</v>
      </c>
      <c r="C62" s="36" t="s">
        <v>136</v>
      </c>
      <c r="D62" s="76" t="s">
        <v>137</v>
      </c>
      <c r="E62" s="36" t="s">
        <v>12</v>
      </c>
      <c r="F62" s="37">
        <f>F61</f>
        <v>42.9</v>
      </c>
      <c r="G62" s="38">
        <v>0.01</v>
      </c>
      <c r="H62" s="38">
        <f t="shared" si="24"/>
        <v>0.429</v>
      </c>
      <c r="I62" s="38">
        <v>0</v>
      </c>
      <c r="J62" s="38">
        <f t="shared" si="25"/>
        <v>0</v>
      </c>
      <c r="K62" s="38">
        <v>0.02</v>
      </c>
      <c r="L62" s="39">
        <f t="shared" si="26"/>
        <v>0.858</v>
      </c>
      <c r="M62" s="38">
        <f t="shared" si="27"/>
        <v>1.287</v>
      </c>
      <c r="N62" s="51">
        <f t="shared" si="28"/>
        <v>0.03</v>
      </c>
    </row>
    <row r="63" spans="2:14" ht="12.75">
      <c r="B63" s="82" t="s">
        <v>158</v>
      </c>
      <c r="C63" s="36" t="s">
        <v>73</v>
      </c>
      <c r="D63" s="107" t="s">
        <v>131</v>
      </c>
      <c r="E63" s="41" t="s">
        <v>15</v>
      </c>
      <c r="F63" s="52">
        <v>13.11</v>
      </c>
      <c r="G63" s="52">
        <v>2.96</v>
      </c>
      <c r="H63" s="42">
        <f t="shared" si="24"/>
        <v>38.8056</v>
      </c>
      <c r="I63" s="42">
        <v>26.66</v>
      </c>
      <c r="J63" s="42">
        <f t="shared" si="25"/>
        <v>349.51259999999996</v>
      </c>
      <c r="K63" s="42">
        <v>44.43</v>
      </c>
      <c r="L63" s="43">
        <f t="shared" si="26"/>
        <v>582.4773</v>
      </c>
      <c r="M63" s="42">
        <f t="shared" si="27"/>
        <v>970.7955000000001</v>
      </c>
      <c r="N63" s="51">
        <f t="shared" si="28"/>
        <v>74.05</v>
      </c>
    </row>
    <row r="64" spans="2:14" ht="12.75">
      <c r="B64" s="82" t="s">
        <v>159</v>
      </c>
      <c r="C64" s="36">
        <v>72961</v>
      </c>
      <c r="D64" s="40" t="s">
        <v>31</v>
      </c>
      <c r="E64" s="41" t="s">
        <v>12</v>
      </c>
      <c r="F64" s="37">
        <v>2392.21</v>
      </c>
      <c r="G64" s="42">
        <v>0.07</v>
      </c>
      <c r="H64" s="38">
        <f t="shared" si="24"/>
        <v>167.45470000000003</v>
      </c>
      <c r="I64" s="42">
        <v>0</v>
      </c>
      <c r="J64" s="38">
        <f t="shared" si="25"/>
        <v>0</v>
      </c>
      <c r="K64" s="42">
        <v>1.91</v>
      </c>
      <c r="L64" s="39">
        <f t="shared" si="26"/>
        <v>4569.1211</v>
      </c>
      <c r="M64" s="38">
        <f t="shared" si="27"/>
        <v>4736.5758000000005</v>
      </c>
      <c r="N64" s="51">
        <f t="shared" si="28"/>
        <v>1.98</v>
      </c>
    </row>
    <row r="65" spans="1:14" ht="12.75">
      <c r="A65" s="77"/>
      <c r="B65" s="82" t="s">
        <v>160</v>
      </c>
      <c r="C65" s="36" t="s">
        <v>138</v>
      </c>
      <c r="D65" s="76" t="s">
        <v>139</v>
      </c>
      <c r="E65" s="36" t="s">
        <v>12</v>
      </c>
      <c r="F65" s="37">
        <f>F64</f>
        <v>2392.21</v>
      </c>
      <c r="G65" s="38">
        <v>0.01</v>
      </c>
      <c r="H65" s="38">
        <f t="shared" si="24"/>
        <v>23.9221</v>
      </c>
      <c r="I65" s="38">
        <v>0</v>
      </c>
      <c r="J65" s="38">
        <f t="shared" si="25"/>
        <v>0</v>
      </c>
      <c r="K65" s="38">
        <v>0.41</v>
      </c>
      <c r="L65" s="39">
        <f t="shared" si="26"/>
        <v>980.8060999999999</v>
      </c>
      <c r="M65" s="38">
        <f t="shared" si="27"/>
        <v>1004.7281999999999</v>
      </c>
      <c r="N65" s="51">
        <f t="shared" si="28"/>
        <v>0.42</v>
      </c>
    </row>
    <row r="66" spans="2:14" ht="12.75">
      <c r="B66" s="82" t="s">
        <v>161</v>
      </c>
      <c r="C66" s="36" t="s">
        <v>62</v>
      </c>
      <c r="D66" s="40" t="s">
        <v>129</v>
      </c>
      <c r="E66" s="41" t="s">
        <v>15</v>
      </c>
      <c r="F66" s="52">
        <f>F73*0.13</f>
        <v>252.73287</v>
      </c>
      <c r="G66" s="38">
        <v>2.81</v>
      </c>
      <c r="H66" s="38">
        <f t="shared" si="24"/>
        <v>710.1793647</v>
      </c>
      <c r="I66" s="38">
        <v>0</v>
      </c>
      <c r="J66" s="38">
        <f t="shared" si="25"/>
        <v>0</v>
      </c>
      <c r="K66" s="38">
        <v>67.48</v>
      </c>
      <c r="L66" s="39">
        <f t="shared" si="26"/>
        <v>17054.4140676</v>
      </c>
      <c r="M66" s="38">
        <f t="shared" si="27"/>
        <v>17764.5934323</v>
      </c>
      <c r="N66" s="51">
        <f t="shared" si="28"/>
        <v>70.29</v>
      </c>
    </row>
    <row r="67" spans="2:14" ht="12.75">
      <c r="B67" s="82" t="s">
        <v>162</v>
      </c>
      <c r="C67" s="36">
        <v>72886</v>
      </c>
      <c r="D67" s="40" t="s">
        <v>310</v>
      </c>
      <c r="E67" s="41" t="s">
        <v>93</v>
      </c>
      <c r="F67" s="52">
        <f>F66*30</f>
        <v>7581.9861</v>
      </c>
      <c r="G67" s="38">
        <v>0.04</v>
      </c>
      <c r="H67" s="38">
        <f>G67*F67</f>
        <v>303.279444</v>
      </c>
      <c r="I67" s="38">
        <v>0</v>
      </c>
      <c r="J67" s="38">
        <f>I67*F67</f>
        <v>0</v>
      </c>
      <c r="K67" s="38">
        <v>0.98</v>
      </c>
      <c r="L67" s="39">
        <f>K67*F67</f>
        <v>7430.346378</v>
      </c>
      <c r="M67" s="38">
        <f t="shared" si="27"/>
        <v>7733.625822</v>
      </c>
      <c r="N67" s="51">
        <f t="shared" si="28"/>
        <v>1.02</v>
      </c>
    </row>
    <row r="68" spans="1:14" ht="12.75">
      <c r="A68" s="77"/>
      <c r="B68" s="82" t="s">
        <v>163</v>
      </c>
      <c r="C68" s="36" t="s">
        <v>134</v>
      </c>
      <c r="D68" s="76" t="s">
        <v>135</v>
      </c>
      <c r="E68" s="36" t="s">
        <v>15</v>
      </c>
      <c r="F68" s="37">
        <f>F66</f>
        <v>252.73287</v>
      </c>
      <c r="G68" s="38">
        <v>0.03</v>
      </c>
      <c r="H68" s="38">
        <f t="shared" si="24"/>
        <v>7.581986099999999</v>
      </c>
      <c r="I68" s="38">
        <v>0</v>
      </c>
      <c r="J68" s="38">
        <f t="shared" si="25"/>
        <v>0</v>
      </c>
      <c r="K68" s="38">
        <v>0.8</v>
      </c>
      <c r="L68" s="39">
        <f t="shared" si="26"/>
        <v>202.186296</v>
      </c>
      <c r="M68" s="38">
        <f t="shared" si="27"/>
        <v>209.7682821</v>
      </c>
      <c r="N68" s="51">
        <f t="shared" si="28"/>
        <v>0.8300000000000001</v>
      </c>
    </row>
    <row r="69" spans="2:14" ht="12.75">
      <c r="B69" s="82" t="s">
        <v>164</v>
      </c>
      <c r="C69" s="36">
        <v>73710</v>
      </c>
      <c r="D69" s="35" t="s">
        <v>128</v>
      </c>
      <c r="E69" s="41" t="s">
        <v>15</v>
      </c>
      <c r="F69" s="52">
        <f>F73*0.12</f>
        <v>233.29188</v>
      </c>
      <c r="G69" s="42">
        <v>4.33</v>
      </c>
      <c r="H69" s="38">
        <f t="shared" si="24"/>
        <v>1010.1538404</v>
      </c>
      <c r="I69" s="42">
        <v>38.99</v>
      </c>
      <c r="J69" s="38">
        <f t="shared" si="25"/>
        <v>9096.0504012</v>
      </c>
      <c r="K69" s="42">
        <v>64.99</v>
      </c>
      <c r="L69" s="39">
        <f t="shared" si="26"/>
        <v>15161.639281199998</v>
      </c>
      <c r="M69" s="38">
        <f t="shared" si="27"/>
        <v>25267.843522799998</v>
      </c>
      <c r="N69" s="51">
        <f t="shared" si="28"/>
        <v>108.31</v>
      </c>
    </row>
    <row r="70" spans="2:14" ht="12.75">
      <c r="B70" s="82" t="s">
        <v>165</v>
      </c>
      <c r="C70" s="36">
        <v>72887</v>
      </c>
      <c r="D70" s="40" t="s">
        <v>271</v>
      </c>
      <c r="E70" s="41" t="s">
        <v>93</v>
      </c>
      <c r="F70" s="52">
        <f>F69*28</f>
        <v>6532.17264</v>
      </c>
      <c r="G70" s="38">
        <v>0.03</v>
      </c>
      <c r="H70" s="38">
        <f t="shared" si="24"/>
        <v>195.9651792</v>
      </c>
      <c r="I70" s="38">
        <v>0</v>
      </c>
      <c r="J70" s="38">
        <f t="shared" si="25"/>
        <v>0</v>
      </c>
      <c r="K70" s="38">
        <v>0.82</v>
      </c>
      <c r="L70" s="39">
        <f t="shared" si="26"/>
        <v>5356.381564799999</v>
      </c>
      <c r="M70" s="38">
        <f t="shared" si="27"/>
        <v>5552.3467439999995</v>
      </c>
      <c r="N70" s="51">
        <f t="shared" si="28"/>
        <v>0.85</v>
      </c>
    </row>
    <row r="71" spans="2:14" ht="12.75">
      <c r="B71" s="82" t="s">
        <v>166</v>
      </c>
      <c r="C71" s="36">
        <v>72886</v>
      </c>
      <c r="D71" s="40" t="s">
        <v>272</v>
      </c>
      <c r="E71" s="41" t="s">
        <v>93</v>
      </c>
      <c r="F71" s="52">
        <f>F69*62</f>
        <v>14464.09656</v>
      </c>
      <c r="G71" s="38">
        <v>0.04</v>
      </c>
      <c r="H71" s="38">
        <f t="shared" si="24"/>
        <v>578.5638624000001</v>
      </c>
      <c r="I71" s="38">
        <v>0</v>
      </c>
      <c r="J71" s="38">
        <f t="shared" si="25"/>
        <v>0</v>
      </c>
      <c r="K71" s="38">
        <v>0.98</v>
      </c>
      <c r="L71" s="39">
        <f t="shared" si="26"/>
        <v>14174.814628799999</v>
      </c>
      <c r="M71" s="38">
        <f t="shared" si="27"/>
        <v>14753.3784912</v>
      </c>
      <c r="N71" s="51">
        <f t="shared" si="28"/>
        <v>1.02</v>
      </c>
    </row>
    <row r="72" spans="1:14" ht="12.75">
      <c r="A72" s="77"/>
      <c r="B72" s="82" t="s">
        <v>167</v>
      </c>
      <c r="C72" s="36" t="s">
        <v>134</v>
      </c>
      <c r="D72" s="76" t="s">
        <v>140</v>
      </c>
      <c r="E72" s="36" t="s">
        <v>15</v>
      </c>
      <c r="F72" s="37">
        <f>F69</f>
        <v>233.29188</v>
      </c>
      <c r="G72" s="38">
        <v>0.03</v>
      </c>
      <c r="H72" s="38">
        <f t="shared" si="24"/>
        <v>6.9987563999999995</v>
      </c>
      <c r="I72" s="38">
        <v>0</v>
      </c>
      <c r="J72" s="38">
        <f t="shared" si="25"/>
        <v>0</v>
      </c>
      <c r="K72" s="38">
        <v>0.8</v>
      </c>
      <c r="L72" s="39">
        <f t="shared" si="26"/>
        <v>186.63350400000002</v>
      </c>
      <c r="M72" s="38">
        <f t="shared" si="27"/>
        <v>193.6322604</v>
      </c>
      <c r="N72" s="51">
        <f t="shared" si="28"/>
        <v>0.8300000000000001</v>
      </c>
    </row>
    <row r="73" spans="2:14" ht="12.75">
      <c r="B73" s="82" t="s">
        <v>168</v>
      </c>
      <c r="C73" s="36">
        <v>72945</v>
      </c>
      <c r="D73" s="35" t="s">
        <v>63</v>
      </c>
      <c r="E73" s="41" t="s">
        <v>12</v>
      </c>
      <c r="F73" s="52">
        <f>1849.86+(314.13*0.3)</f>
        <v>1944.099</v>
      </c>
      <c r="G73" s="42">
        <v>0.15</v>
      </c>
      <c r="H73" s="38">
        <f t="shared" si="24"/>
        <v>291.61485</v>
      </c>
      <c r="I73" s="42">
        <v>1.38</v>
      </c>
      <c r="J73" s="38">
        <f t="shared" si="25"/>
        <v>2682.8566199999996</v>
      </c>
      <c r="K73" s="42">
        <v>2.31</v>
      </c>
      <c r="L73" s="39">
        <f t="shared" si="26"/>
        <v>4490.86869</v>
      </c>
      <c r="M73" s="38">
        <f t="shared" si="27"/>
        <v>7465.34016</v>
      </c>
      <c r="N73" s="51">
        <f t="shared" si="28"/>
        <v>3.84</v>
      </c>
    </row>
    <row r="74" spans="1:14" ht="12.75">
      <c r="A74" s="77"/>
      <c r="B74" s="82" t="s">
        <v>169</v>
      </c>
      <c r="C74" s="36" t="s">
        <v>136</v>
      </c>
      <c r="D74" s="76" t="s">
        <v>137</v>
      </c>
      <c r="E74" s="36" t="s">
        <v>12</v>
      </c>
      <c r="F74" s="37">
        <f>F73</f>
        <v>1944.099</v>
      </c>
      <c r="G74" s="38">
        <v>0.01</v>
      </c>
      <c r="H74" s="38">
        <f t="shared" si="24"/>
        <v>19.44099</v>
      </c>
      <c r="I74" s="38">
        <v>0</v>
      </c>
      <c r="J74" s="38">
        <f t="shared" si="25"/>
        <v>0</v>
      </c>
      <c r="K74" s="38">
        <v>0.02</v>
      </c>
      <c r="L74" s="39">
        <f t="shared" si="26"/>
        <v>38.88198</v>
      </c>
      <c r="M74" s="38">
        <f t="shared" si="27"/>
        <v>58.32297</v>
      </c>
      <c r="N74" s="51">
        <f t="shared" si="28"/>
        <v>0.03</v>
      </c>
    </row>
    <row r="75" spans="2:14" ht="12.75">
      <c r="B75" s="82" t="s">
        <v>170</v>
      </c>
      <c r="C75" s="36">
        <v>72943</v>
      </c>
      <c r="D75" s="35" t="s">
        <v>64</v>
      </c>
      <c r="E75" s="41" t="s">
        <v>12</v>
      </c>
      <c r="F75" s="52">
        <f>F73</f>
        <v>1944.099</v>
      </c>
      <c r="G75" s="42">
        <v>0.06</v>
      </c>
      <c r="H75" s="38">
        <f t="shared" si="24"/>
        <v>116.64594</v>
      </c>
      <c r="I75" s="42">
        <v>0.54</v>
      </c>
      <c r="J75" s="38">
        <f t="shared" si="25"/>
        <v>1049.81346</v>
      </c>
      <c r="K75" s="42">
        <v>0.9</v>
      </c>
      <c r="L75" s="39">
        <f t="shared" si="26"/>
        <v>1749.6891</v>
      </c>
      <c r="M75" s="38">
        <f t="shared" si="27"/>
        <v>2916.1485</v>
      </c>
      <c r="N75" s="51">
        <f t="shared" si="28"/>
        <v>1.5</v>
      </c>
    </row>
    <row r="76" spans="1:14" ht="12.75">
      <c r="A76" s="77"/>
      <c r="B76" s="82" t="s">
        <v>171</v>
      </c>
      <c r="C76" s="36">
        <v>74259</v>
      </c>
      <c r="D76" s="76" t="s">
        <v>141</v>
      </c>
      <c r="E76" s="36" t="s">
        <v>12</v>
      </c>
      <c r="F76" s="37">
        <f>F75</f>
        <v>1944.099</v>
      </c>
      <c r="G76" s="38">
        <v>0.01</v>
      </c>
      <c r="H76" s="38">
        <f t="shared" si="24"/>
        <v>19.44099</v>
      </c>
      <c r="I76" s="38">
        <v>0</v>
      </c>
      <c r="J76" s="38">
        <f t="shared" si="25"/>
        <v>0</v>
      </c>
      <c r="K76" s="38">
        <v>0.01</v>
      </c>
      <c r="L76" s="39">
        <f t="shared" si="26"/>
        <v>19.44099</v>
      </c>
      <c r="M76" s="38">
        <f t="shared" si="27"/>
        <v>38.88198</v>
      </c>
      <c r="N76" s="51">
        <f t="shared" si="28"/>
        <v>0.02</v>
      </c>
    </row>
    <row r="77" spans="2:14" ht="24">
      <c r="B77" s="82" t="s">
        <v>172</v>
      </c>
      <c r="C77" s="88">
        <v>72965</v>
      </c>
      <c r="D77" s="94" t="s">
        <v>94</v>
      </c>
      <c r="E77" s="78" t="s">
        <v>15</v>
      </c>
      <c r="F77" s="91">
        <f>F75*0.05</f>
        <v>97.20495</v>
      </c>
      <c r="G77" s="79">
        <v>24.59</v>
      </c>
      <c r="H77" s="79">
        <f t="shared" si="24"/>
        <v>2390.2697205</v>
      </c>
      <c r="I77" s="79">
        <v>221.33</v>
      </c>
      <c r="J77" s="79">
        <f t="shared" si="25"/>
        <v>21514.3715835</v>
      </c>
      <c r="K77" s="79">
        <v>368.89</v>
      </c>
      <c r="L77" s="80">
        <f t="shared" si="26"/>
        <v>35857.9340055</v>
      </c>
      <c r="M77" s="79">
        <f t="shared" si="27"/>
        <v>59762.5753095</v>
      </c>
      <c r="N77" s="97">
        <f t="shared" si="28"/>
        <v>614.81</v>
      </c>
    </row>
    <row r="78" spans="2:14" ht="12.75">
      <c r="B78" s="82" t="s">
        <v>173</v>
      </c>
      <c r="C78" s="36">
        <v>72887</v>
      </c>
      <c r="D78" s="40" t="s">
        <v>273</v>
      </c>
      <c r="E78" s="41" t="s">
        <v>93</v>
      </c>
      <c r="F78" s="52">
        <f>F77*70</f>
        <v>6804.3465</v>
      </c>
      <c r="G78" s="38">
        <v>0.03</v>
      </c>
      <c r="H78" s="38">
        <f t="shared" si="24"/>
        <v>204.130395</v>
      </c>
      <c r="I78" s="38">
        <v>0</v>
      </c>
      <c r="J78" s="38">
        <f t="shared" si="25"/>
        <v>0</v>
      </c>
      <c r="K78" s="38">
        <v>0.82</v>
      </c>
      <c r="L78" s="39">
        <f t="shared" si="26"/>
        <v>5579.56413</v>
      </c>
      <c r="M78" s="38">
        <f>L78+J78+H78</f>
        <v>5783.694525</v>
      </c>
      <c r="N78" s="51">
        <f>G78+I78+K78</f>
        <v>0.85</v>
      </c>
    </row>
    <row r="79" spans="2:14" ht="12.75">
      <c r="B79" s="82" t="s">
        <v>174</v>
      </c>
      <c r="C79" s="36">
        <v>72886</v>
      </c>
      <c r="D79" s="40" t="s">
        <v>274</v>
      </c>
      <c r="E79" s="41" t="s">
        <v>93</v>
      </c>
      <c r="F79" s="52">
        <f>F77*69</f>
        <v>6707.141549999999</v>
      </c>
      <c r="G79" s="38">
        <v>0.04</v>
      </c>
      <c r="H79" s="38">
        <f t="shared" si="24"/>
        <v>268.285662</v>
      </c>
      <c r="I79" s="38">
        <v>0</v>
      </c>
      <c r="J79" s="38">
        <f t="shared" si="25"/>
        <v>0</v>
      </c>
      <c r="K79" s="38">
        <v>0.98</v>
      </c>
      <c r="L79" s="39">
        <f t="shared" si="26"/>
        <v>6572.998718999999</v>
      </c>
      <c r="M79" s="38">
        <f t="shared" si="27"/>
        <v>6841.2843809999995</v>
      </c>
      <c r="N79" s="51">
        <f t="shared" si="28"/>
        <v>1.02</v>
      </c>
    </row>
    <row r="80" spans="2:14" ht="24">
      <c r="B80" s="82" t="s">
        <v>175</v>
      </c>
      <c r="C80" s="88">
        <v>72891</v>
      </c>
      <c r="D80" s="94" t="s">
        <v>95</v>
      </c>
      <c r="E80" s="78" t="s">
        <v>15</v>
      </c>
      <c r="F80" s="91">
        <f>F77</f>
        <v>97.20495</v>
      </c>
      <c r="G80" s="79">
        <v>0.17</v>
      </c>
      <c r="H80" s="79">
        <f aca="true" t="shared" si="29" ref="H80:H86">G80*F80</f>
        <v>16.5248415</v>
      </c>
      <c r="I80" s="79">
        <v>0</v>
      </c>
      <c r="J80" s="79">
        <f aca="true" t="shared" si="30" ref="J80:J86">I80*F80</f>
        <v>0</v>
      </c>
      <c r="K80" s="79">
        <v>4.31</v>
      </c>
      <c r="L80" s="80">
        <f aca="true" t="shared" si="31" ref="L80:L86">K80*F80</f>
        <v>418.9533344999999</v>
      </c>
      <c r="M80" s="79">
        <f t="shared" si="27"/>
        <v>435.4781759999999</v>
      </c>
      <c r="N80" s="97">
        <f t="shared" si="28"/>
        <v>4.4799999999999995</v>
      </c>
    </row>
    <row r="81" spans="1:14" ht="12.75">
      <c r="A81" s="77"/>
      <c r="B81" s="82" t="s">
        <v>176</v>
      </c>
      <c r="C81" s="36" t="s">
        <v>142</v>
      </c>
      <c r="D81" s="76" t="s">
        <v>143</v>
      </c>
      <c r="E81" s="36" t="s">
        <v>144</v>
      </c>
      <c r="F81" s="37">
        <f>F77*2.55</f>
        <v>247.87262249999998</v>
      </c>
      <c r="G81" s="38">
        <v>0.96</v>
      </c>
      <c r="H81" s="38">
        <f t="shared" si="29"/>
        <v>237.95771759999997</v>
      </c>
      <c r="I81" s="38">
        <v>0</v>
      </c>
      <c r="J81" s="38">
        <f t="shared" si="30"/>
        <v>0</v>
      </c>
      <c r="K81" s="38">
        <v>23.11</v>
      </c>
      <c r="L81" s="39">
        <f t="shared" si="31"/>
        <v>5728.336305974999</v>
      </c>
      <c r="M81" s="38">
        <f t="shared" si="27"/>
        <v>5966.294023574999</v>
      </c>
      <c r="N81" s="51">
        <f t="shared" si="28"/>
        <v>24.07</v>
      </c>
    </row>
    <row r="82" spans="2:14" ht="12.75">
      <c r="B82" s="82" t="s">
        <v>177</v>
      </c>
      <c r="C82" s="36">
        <v>7011</v>
      </c>
      <c r="D82" s="35" t="s">
        <v>75</v>
      </c>
      <c r="E82" s="41" t="s">
        <v>33</v>
      </c>
      <c r="F82" s="52">
        <v>426</v>
      </c>
      <c r="G82" s="42">
        <v>0.12</v>
      </c>
      <c r="H82" s="38">
        <f t="shared" si="29"/>
        <v>51.12</v>
      </c>
      <c r="I82" s="42">
        <v>0</v>
      </c>
      <c r="J82" s="38">
        <f t="shared" si="30"/>
        <v>0</v>
      </c>
      <c r="K82" s="42">
        <v>3</v>
      </c>
      <c r="L82" s="39">
        <f t="shared" si="31"/>
        <v>1278</v>
      </c>
      <c r="M82" s="38">
        <f t="shared" si="27"/>
        <v>1329.12</v>
      </c>
      <c r="N82" s="51">
        <f t="shared" si="28"/>
        <v>3.12</v>
      </c>
    </row>
    <row r="83" spans="2:14" ht="12.75">
      <c r="B83" s="82" t="s">
        <v>268</v>
      </c>
      <c r="C83" s="36" t="s">
        <v>65</v>
      </c>
      <c r="D83" s="35" t="s">
        <v>32</v>
      </c>
      <c r="E83" s="41" t="s">
        <v>33</v>
      </c>
      <c r="F83" s="52">
        <f>F82</f>
        <v>426</v>
      </c>
      <c r="G83" s="42">
        <v>1.29</v>
      </c>
      <c r="H83" s="38">
        <f t="shared" si="29"/>
        <v>549.54</v>
      </c>
      <c r="I83" s="42">
        <v>11.66</v>
      </c>
      <c r="J83" s="38">
        <f t="shared" si="30"/>
        <v>4967.16</v>
      </c>
      <c r="K83" s="42">
        <v>19.44</v>
      </c>
      <c r="L83" s="39">
        <f t="shared" si="31"/>
        <v>8281.44</v>
      </c>
      <c r="M83" s="38">
        <f t="shared" si="27"/>
        <v>13798.14</v>
      </c>
      <c r="N83" s="51">
        <f t="shared" si="28"/>
        <v>32.39</v>
      </c>
    </row>
    <row r="84" spans="2:14" ht="12.75">
      <c r="B84" s="82" t="s">
        <v>276</v>
      </c>
      <c r="C84" s="36" t="s">
        <v>67</v>
      </c>
      <c r="D84" s="35" t="s">
        <v>66</v>
      </c>
      <c r="E84" s="41" t="s">
        <v>12</v>
      </c>
      <c r="F84" s="52">
        <f>F83*0.27</f>
        <v>115.02000000000001</v>
      </c>
      <c r="G84" s="42">
        <v>0.24</v>
      </c>
      <c r="H84" s="38">
        <f t="shared" si="29"/>
        <v>27.6048</v>
      </c>
      <c r="I84" s="42">
        <v>2.21</v>
      </c>
      <c r="J84" s="38">
        <f t="shared" si="30"/>
        <v>254.19420000000002</v>
      </c>
      <c r="K84" s="42">
        <v>3.68</v>
      </c>
      <c r="L84" s="39">
        <f t="shared" si="31"/>
        <v>423.27360000000004</v>
      </c>
      <c r="M84" s="38">
        <f t="shared" si="27"/>
        <v>705.0726000000001</v>
      </c>
      <c r="N84" s="51">
        <f t="shared" si="28"/>
        <v>6.130000000000001</v>
      </c>
    </row>
    <row r="85" spans="2:14" ht="24">
      <c r="B85" s="82" t="s">
        <v>311</v>
      </c>
      <c r="C85" s="88">
        <v>72947</v>
      </c>
      <c r="D85" s="92" t="s">
        <v>130</v>
      </c>
      <c r="E85" s="78" t="s">
        <v>12</v>
      </c>
      <c r="F85" s="93">
        <f>(245.21*0.15)+(4*0.4*15)*2</f>
        <v>84.7815</v>
      </c>
      <c r="G85" s="79">
        <v>0.67</v>
      </c>
      <c r="H85" s="79">
        <f t="shared" si="29"/>
        <v>56.803605</v>
      </c>
      <c r="I85" s="79">
        <v>6.11</v>
      </c>
      <c r="J85" s="79">
        <f t="shared" si="30"/>
        <v>518.014965</v>
      </c>
      <c r="K85" s="79">
        <v>10.19</v>
      </c>
      <c r="L85" s="80">
        <f t="shared" si="31"/>
        <v>863.9234849999999</v>
      </c>
      <c r="M85" s="79">
        <f t="shared" si="27"/>
        <v>1438.742055</v>
      </c>
      <c r="N85" s="97">
        <f t="shared" si="28"/>
        <v>16.97</v>
      </c>
    </row>
    <row r="86" spans="2:14" ht="13.5" thickBot="1">
      <c r="B86" s="82" t="s">
        <v>312</v>
      </c>
      <c r="C86" s="88" t="s">
        <v>74</v>
      </c>
      <c r="D86" s="40" t="s">
        <v>52</v>
      </c>
      <c r="E86" s="41" t="s">
        <v>12</v>
      </c>
      <c r="F86" s="81">
        <f>3*0.5</f>
        <v>1.5</v>
      </c>
      <c r="G86" s="42">
        <v>14.93</v>
      </c>
      <c r="H86" s="42">
        <f t="shared" si="29"/>
        <v>22.395</v>
      </c>
      <c r="I86" s="42">
        <v>134.38</v>
      </c>
      <c r="J86" s="42">
        <f t="shared" si="30"/>
        <v>201.57</v>
      </c>
      <c r="K86" s="42">
        <v>223.97</v>
      </c>
      <c r="L86" s="43">
        <f t="shared" si="31"/>
        <v>335.955</v>
      </c>
      <c r="M86" s="42">
        <f t="shared" si="27"/>
        <v>559.92</v>
      </c>
      <c r="N86" s="51">
        <f t="shared" si="28"/>
        <v>373.28</v>
      </c>
    </row>
    <row r="87" spans="2:14" s="14" customFormat="1" ht="13.5" thickBot="1">
      <c r="B87" s="44"/>
      <c r="C87" s="86"/>
      <c r="D87" s="45" t="s">
        <v>6</v>
      </c>
      <c r="E87" s="46"/>
      <c r="F87" s="47"/>
      <c r="G87" s="48"/>
      <c r="H87" s="48">
        <f>SUM(H50:H86)</f>
        <v>8083.384044800002</v>
      </c>
      <c r="I87" s="48"/>
      <c r="J87" s="48">
        <f>SUM(J50:J86)</f>
        <v>42271.604429700004</v>
      </c>
      <c r="K87" s="49"/>
      <c r="L87" s="48">
        <f>SUM(L50:L86)</f>
        <v>154591.322660375</v>
      </c>
      <c r="M87" s="50">
        <f>H87+J87+L87</f>
        <v>204946.31113487502</v>
      </c>
      <c r="N87" s="27"/>
    </row>
    <row r="88" spans="2:14" ht="12.75">
      <c r="B88" s="25"/>
      <c r="C88" s="54"/>
      <c r="D88" s="25"/>
      <c r="E88" s="25"/>
      <c r="F88" s="26"/>
      <c r="G88" s="27"/>
      <c r="H88" s="28"/>
      <c r="I88" s="27"/>
      <c r="J88" s="28"/>
      <c r="K88" s="27"/>
      <c r="L88" s="28"/>
      <c r="M88" s="27"/>
      <c r="N88" s="27"/>
    </row>
    <row r="89" spans="2:14" s="14" customFormat="1" ht="12.75">
      <c r="B89" s="31" t="s">
        <v>21</v>
      </c>
      <c r="C89" s="31"/>
      <c r="D89" s="31" t="s">
        <v>279</v>
      </c>
      <c r="E89" s="31"/>
      <c r="F89" s="32"/>
      <c r="G89" s="33"/>
      <c r="H89" s="33"/>
      <c r="I89" s="33"/>
      <c r="J89" s="33"/>
      <c r="K89" s="33"/>
      <c r="L89" s="34"/>
      <c r="M89" s="33"/>
      <c r="N89" s="27"/>
    </row>
    <row r="90" spans="1:14" ht="12.75">
      <c r="A90" s="77"/>
      <c r="B90" s="82" t="s">
        <v>22</v>
      </c>
      <c r="C90" s="36">
        <v>73610</v>
      </c>
      <c r="D90" s="35" t="s">
        <v>267</v>
      </c>
      <c r="E90" s="36" t="s">
        <v>12</v>
      </c>
      <c r="F90" s="37">
        <f>F105</f>
        <v>5639.34</v>
      </c>
      <c r="G90" s="38">
        <v>0.07</v>
      </c>
      <c r="H90" s="38">
        <f>G90*F90</f>
        <v>394.75380000000007</v>
      </c>
      <c r="I90" s="38">
        <v>0.66</v>
      </c>
      <c r="J90" s="38">
        <f>I90*F90</f>
        <v>3721.9644000000003</v>
      </c>
      <c r="K90" s="38">
        <v>1.1</v>
      </c>
      <c r="L90" s="39">
        <f>K90*F90</f>
        <v>6203.274</v>
      </c>
      <c r="M90" s="38">
        <f>L90+J90+H90</f>
        <v>10319.9922</v>
      </c>
      <c r="N90" s="51">
        <f>G90+I90+K90</f>
        <v>1.83</v>
      </c>
    </row>
    <row r="91" spans="1:14" ht="12.75">
      <c r="A91" s="77"/>
      <c r="B91" s="82" t="s">
        <v>39</v>
      </c>
      <c r="C91" s="36">
        <v>72824</v>
      </c>
      <c r="D91" s="76" t="s">
        <v>58</v>
      </c>
      <c r="E91" s="36" t="s">
        <v>15</v>
      </c>
      <c r="F91" s="37">
        <f>1824.07-F92</f>
        <v>1538.375</v>
      </c>
      <c r="G91" s="38">
        <v>0.22</v>
      </c>
      <c r="H91" s="38">
        <f>G91*F91</f>
        <v>338.4425</v>
      </c>
      <c r="I91" s="38">
        <v>0</v>
      </c>
      <c r="J91" s="38">
        <f>I91*F91</f>
        <v>0</v>
      </c>
      <c r="K91" s="38">
        <v>5.32</v>
      </c>
      <c r="L91" s="39">
        <f>K91*F91</f>
        <v>8184.155000000001</v>
      </c>
      <c r="M91" s="38">
        <f aca="true" t="shared" si="32" ref="M91:M127">L91+J91+H91</f>
        <v>8522.5975</v>
      </c>
      <c r="N91" s="51">
        <f aca="true" t="shared" si="33" ref="N91:N127">G91+I91+K91</f>
        <v>5.54</v>
      </c>
    </row>
    <row r="92" spans="1:14" ht="12.75">
      <c r="A92" s="77"/>
      <c r="B92" s="82" t="s">
        <v>40</v>
      </c>
      <c r="C92" s="36" t="s">
        <v>291</v>
      </c>
      <c r="D92" s="76" t="s">
        <v>290</v>
      </c>
      <c r="E92" s="36" t="s">
        <v>15</v>
      </c>
      <c r="F92" s="37">
        <v>285.695</v>
      </c>
      <c r="G92" s="38">
        <v>1.12</v>
      </c>
      <c r="H92" s="102">
        <f aca="true" t="shared" si="34" ref="H92:H98">G92*F92</f>
        <v>319.9784</v>
      </c>
      <c r="I92" s="38">
        <v>0</v>
      </c>
      <c r="J92" s="102">
        <f aca="true" t="shared" si="35" ref="J92:J98">I92*F92</f>
        <v>0</v>
      </c>
      <c r="K92" s="38">
        <v>26.9</v>
      </c>
      <c r="L92" s="103">
        <f aca="true" t="shared" si="36" ref="L92:L98">K92*F92</f>
        <v>7685.1955</v>
      </c>
      <c r="M92" s="38">
        <f>L92+J92+H92</f>
        <v>8005.1739</v>
      </c>
      <c r="N92" s="51">
        <f>G92+I92+K92</f>
        <v>28.02</v>
      </c>
    </row>
    <row r="93" spans="1:14" ht="27" customHeight="1">
      <c r="A93" s="77"/>
      <c r="B93" s="82" t="s">
        <v>41</v>
      </c>
      <c r="C93" s="88" t="s">
        <v>116</v>
      </c>
      <c r="D93" s="100" t="s">
        <v>117</v>
      </c>
      <c r="E93" s="88" t="s">
        <v>15</v>
      </c>
      <c r="F93" s="101">
        <v>258.68</v>
      </c>
      <c r="G93" s="102">
        <v>0.19</v>
      </c>
      <c r="H93" s="102">
        <f t="shared" si="34"/>
        <v>49.1492</v>
      </c>
      <c r="I93" s="102">
        <v>0</v>
      </c>
      <c r="J93" s="102">
        <f t="shared" si="35"/>
        <v>0</v>
      </c>
      <c r="K93" s="102">
        <v>4.65</v>
      </c>
      <c r="L93" s="103">
        <f t="shared" si="36"/>
        <v>1202.862</v>
      </c>
      <c r="M93" s="102">
        <f t="shared" si="32"/>
        <v>1252.0112000000001</v>
      </c>
      <c r="N93" s="97">
        <f t="shared" si="33"/>
        <v>4.840000000000001</v>
      </c>
    </row>
    <row r="94" spans="1:14" ht="12.75">
      <c r="A94" s="77"/>
      <c r="B94" s="82" t="s">
        <v>42</v>
      </c>
      <c r="C94" s="36" t="s">
        <v>132</v>
      </c>
      <c r="D94" s="76" t="s">
        <v>133</v>
      </c>
      <c r="E94" s="36" t="s">
        <v>15</v>
      </c>
      <c r="F94" s="37">
        <f>F93</f>
        <v>258.68</v>
      </c>
      <c r="G94" s="38">
        <v>0.03</v>
      </c>
      <c r="H94" s="38">
        <f t="shared" si="34"/>
        <v>7.7604</v>
      </c>
      <c r="I94" s="38">
        <v>0</v>
      </c>
      <c r="J94" s="38">
        <f t="shared" si="35"/>
        <v>0</v>
      </c>
      <c r="K94" s="38">
        <v>0.88</v>
      </c>
      <c r="L94" s="39">
        <f t="shared" si="36"/>
        <v>227.63840000000002</v>
      </c>
      <c r="M94" s="38">
        <f t="shared" si="32"/>
        <v>235.39880000000002</v>
      </c>
      <c r="N94" s="51">
        <f t="shared" si="33"/>
        <v>0.91</v>
      </c>
    </row>
    <row r="95" spans="1:14" ht="12.75">
      <c r="A95" s="77"/>
      <c r="B95" s="82" t="s">
        <v>43</v>
      </c>
      <c r="C95" s="36" t="s">
        <v>60</v>
      </c>
      <c r="D95" s="35" t="s">
        <v>59</v>
      </c>
      <c r="E95" s="36" t="s">
        <v>15</v>
      </c>
      <c r="F95" s="37">
        <f>F91+F92-F93</f>
        <v>1565.3899999999999</v>
      </c>
      <c r="G95" s="38">
        <v>0.35</v>
      </c>
      <c r="H95" s="38">
        <f t="shared" si="34"/>
        <v>547.8865</v>
      </c>
      <c r="I95" s="38">
        <v>0</v>
      </c>
      <c r="J95" s="38">
        <f t="shared" si="35"/>
        <v>0</v>
      </c>
      <c r="K95" s="38">
        <v>8.53</v>
      </c>
      <c r="L95" s="39">
        <f t="shared" si="36"/>
        <v>13352.776699999999</v>
      </c>
      <c r="M95" s="38">
        <f t="shared" si="32"/>
        <v>13900.663199999999</v>
      </c>
      <c r="N95" s="51">
        <f t="shared" si="33"/>
        <v>8.879999999999999</v>
      </c>
    </row>
    <row r="96" spans="2:14" ht="12.75">
      <c r="B96" s="82" t="s">
        <v>179</v>
      </c>
      <c r="C96" s="36" t="s">
        <v>61</v>
      </c>
      <c r="D96" s="35" t="s">
        <v>34</v>
      </c>
      <c r="E96" s="36" t="s">
        <v>15</v>
      </c>
      <c r="F96" s="37">
        <f>F95</f>
        <v>1565.3899999999999</v>
      </c>
      <c r="G96" s="38">
        <v>0.1</v>
      </c>
      <c r="H96" s="38">
        <f t="shared" si="34"/>
        <v>156.539</v>
      </c>
      <c r="I96" s="38">
        <v>0</v>
      </c>
      <c r="J96" s="38">
        <f t="shared" si="35"/>
        <v>0</v>
      </c>
      <c r="K96" s="38">
        <v>2.47</v>
      </c>
      <c r="L96" s="39">
        <f t="shared" si="36"/>
        <v>3866.5133</v>
      </c>
      <c r="M96" s="38">
        <f t="shared" si="32"/>
        <v>4023.0523000000003</v>
      </c>
      <c r="N96" s="51">
        <f t="shared" si="33"/>
        <v>2.5700000000000003</v>
      </c>
    </row>
    <row r="97" spans="2:14" ht="24">
      <c r="B97" s="82" t="s">
        <v>180</v>
      </c>
      <c r="C97" s="88" t="s">
        <v>70</v>
      </c>
      <c r="D97" s="104" t="s">
        <v>69</v>
      </c>
      <c r="E97" s="88" t="s">
        <v>15</v>
      </c>
      <c r="F97" s="105">
        <f>F102*0.3</f>
        <v>76.707</v>
      </c>
      <c r="G97" s="102">
        <v>0.45</v>
      </c>
      <c r="H97" s="102">
        <f t="shared" si="34"/>
        <v>34.51815</v>
      </c>
      <c r="I97" s="102">
        <v>0</v>
      </c>
      <c r="J97" s="102">
        <f t="shared" si="35"/>
        <v>0</v>
      </c>
      <c r="K97" s="102">
        <v>10.96</v>
      </c>
      <c r="L97" s="103">
        <f t="shared" si="36"/>
        <v>840.70872</v>
      </c>
      <c r="M97" s="102">
        <f t="shared" si="32"/>
        <v>875.22687</v>
      </c>
      <c r="N97" s="97">
        <f t="shared" si="33"/>
        <v>11.41</v>
      </c>
    </row>
    <row r="98" spans="2:14" ht="12.75">
      <c r="B98" s="82" t="s">
        <v>181</v>
      </c>
      <c r="C98" s="36" t="s">
        <v>72</v>
      </c>
      <c r="D98" s="35" t="s">
        <v>71</v>
      </c>
      <c r="E98" s="36" t="s">
        <v>15</v>
      </c>
      <c r="F98" s="106">
        <f>F102*0.2</f>
        <v>51.138000000000005</v>
      </c>
      <c r="G98" s="38">
        <v>0.59</v>
      </c>
      <c r="H98" s="38">
        <f t="shared" si="34"/>
        <v>30.17142</v>
      </c>
      <c r="I98" s="38">
        <v>0</v>
      </c>
      <c r="J98" s="38">
        <f t="shared" si="35"/>
        <v>0</v>
      </c>
      <c r="K98" s="38">
        <v>14.17</v>
      </c>
      <c r="L98" s="39">
        <f t="shared" si="36"/>
        <v>724.6254600000001</v>
      </c>
      <c r="M98" s="38">
        <f t="shared" si="32"/>
        <v>754.7968800000001</v>
      </c>
      <c r="N98" s="51">
        <f t="shared" si="33"/>
        <v>14.76</v>
      </c>
    </row>
    <row r="99" spans="2:14" ht="12.75">
      <c r="B99" s="82" t="s">
        <v>182</v>
      </c>
      <c r="C99" s="36" t="s">
        <v>62</v>
      </c>
      <c r="D99" s="40" t="s">
        <v>119</v>
      </c>
      <c r="E99" s="41" t="s">
        <v>15</v>
      </c>
      <c r="F99" s="106">
        <f>F97</f>
        <v>76.707</v>
      </c>
      <c r="G99" s="38">
        <v>2.81</v>
      </c>
      <c r="H99" s="38">
        <f aca="true" t="shared" si="37" ref="H99:H120">G99*F99</f>
        <v>215.54666999999998</v>
      </c>
      <c r="I99" s="38">
        <v>0</v>
      </c>
      <c r="J99" s="38">
        <f aca="true" t="shared" si="38" ref="J99:J120">I99*F99</f>
        <v>0</v>
      </c>
      <c r="K99" s="38">
        <v>67.48</v>
      </c>
      <c r="L99" s="39">
        <f aca="true" t="shared" si="39" ref="L99:L120">K99*F99</f>
        <v>5176.18836</v>
      </c>
      <c r="M99" s="38">
        <f t="shared" si="32"/>
        <v>5391.73503</v>
      </c>
      <c r="N99" s="51">
        <f t="shared" si="33"/>
        <v>70.29</v>
      </c>
    </row>
    <row r="100" spans="2:14" ht="12.75">
      <c r="B100" s="82" t="s">
        <v>183</v>
      </c>
      <c r="C100" s="36">
        <v>72886</v>
      </c>
      <c r="D100" s="40" t="s">
        <v>310</v>
      </c>
      <c r="E100" s="41" t="s">
        <v>93</v>
      </c>
      <c r="F100" s="52">
        <f>F99*30</f>
        <v>2301.21</v>
      </c>
      <c r="G100" s="38">
        <v>0.04</v>
      </c>
      <c r="H100" s="38">
        <f t="shared" si="37"/>
        <v>92.0484</v>
      </c>
      <c r="I100" s="38">
        <v>0</v>
      </c>
      <c r="J100" s="38">
        <f t="shared" si="38"/>
        <v>0</v>
      </c>
      <c r="K100" s="38">
        <v>0.98</v>
      </c>
      <c r="L100" s="39">
        <f t="shared" si="39"/>
        <v>2255.1858</v>
      </c>
      <c r="M100" s="38">
        <f t="shared" si="32"/>
        <v>2347.2342000000003</v>
      </c>
      <c r="N100" s="51">
        <f t="shared" si="33"/>
        <v>1.02</v>
      </c>
    </row>
    <row r="101" spans="1:14" ht="12.75">
      <c r="A101" s="77"/>
      <c r="B101" s="82" t="s">
        <v>184</v>
      </c>
      <c r="C101" s="36" t="s">
        <v>134</v>
      </c>
      <c r="D101" s="76" t="s">
        <v>135</v>
      </c>
      <c r="E101" s="36" t="s">
        <v>15</v>
      </c>
      <c r="F101" s="37">
        <f>F99</f>
        <v>76.707</v>
      </c>
      <c r="G101" s="38">
        <v>0.03</v>
      </c>
      <c r="H101" s="38">
        <f t="shared" si="37"/>
        <v>2.3012099999999998</v>
      </c>
      <c r="I101" s="38">
        <v>0</v>
      </c>
      <c r="J101" s="38">
        <f t="shared" si="38"/>
        <v>0</v>
      </c>
      <c r="K101" s="38">
        <v>0.8</v>
      </c>
      <c r="L101" s="39">
        <f t="shared" si="39"/>
        <v>61.3656</v>
      </c>
      <c r="M101" s="38">
        <f t="shared" si="32"/>
        <v>63.66681</v>
      </c>
      <c r="N101" s="51">
        <f t="shared" si="33"/>
        <v>0.8300000000000001</v>
      </c>
    </row>
    <row r="102" spans="2:14" ht="12.75">
      <c r="B102" s="82" t="s">
        <v>185</v>
      </c>
      <c r="C102" s="36">
        <v>72945</v>
      </c>
      <c r="D102" s="35" t="s">
        <v>118</v>
      </c>
      <c r="E102" s="41" t="s">
        <v>12</v>
      </c>
      <c r="F102" s="52">
        <v>255.69</v>
      </c>
      <c r="G102" s="42">
        <v>0.15</v>
      </c>
      <c r="H102" s="38">
        <f t="shared" si="37"/>
        <v>38.3535</v>
      </c>
      <c r="I102" s="42">
        <v>1.38</v>
      </c>
      <c r="J102" s="38">
        <f t="shared" si="38"/>
        <v>352.8522</v>
      </c>
      <c r="K102" s="42">
        <v>2.31</v>
      </c>
      <c r="L102" s="39">
        <f t="shared" si="39"/>
        <v>590.6439</v>
      </c>
      <c r="M102" s="38">
        <f t="shared" si="32"/>
        <v>981.8496</v>
      </c>
      <c r="N102" s="51">
        <f t="shared" si="33"/>
        <v>3.84</v>
      </c>
    </row>
    <row r="103" spans="1:14" ht="12.75">
      <c r="A103" s="77"/>
      <c r="B103" s="82" t="s">
        <v>186</v>
      </c>
      <c r="C103" s="36" t="s">
        <v>136</v>
      </c>
      <c r="D103" s="76" t="s">
        <v>137</v>
      </c>
      <c r="E103" s="36" t="s">
        <v>12</v>
      </c>
      <c r="F103" s="37">
        <f>F102</f>
        <v>255.69</v>
      </c>
      <c r="G103" s="38">
        <v>0.01</v>
      </c>
      <c r="H103" s="38">
        <f t="shared" si="37"/>
        <v>2.5569</v>
      </c>
      <c r="I103" s="38">
        <v>0</v>
      </c>
      <c r="J103" s="38">
        <f t="shared" si="38"/>
        <v>0</v>
      </c>
      <c r="K103" s="38">
        <v>0.02</v>
      </c>
      <c r="L103" s="39">
        <f t="shared" si="39"/>
        <v>5.1138</v>
      </c>
      <c r="M103" s="38">
        <f t="shared" si="32"/>
        <v>7.6707</v>
      </c>
      <c r="N103" s="51">
        <f t="shared" si="33"/>
        <v>0.03</v>
      </c>
    </row>
    <row r="104" spans="2:14" ht="12.75">
      <c r="B104" s="82" t="s">
        <v>187</v>
      </c>
      <c r="C104" s="36" t="s">
        <v>73</v>
      </c>
      <c r="D104" s="107" t="s">
        <v>131</v>
      </c>
      <c r="E104" s="41" t="s">
        <v>15</v>
      </c>
      <c r="F104" s="52">
        <v>33.57</v>
      </c>
      <c r="G104" s="52">
        <v>2.96</v>
      </c>
      <c r="H104" s="42">
        <f t="shared" si="37"/>
        <v>99.3672</v>
      </c>
      <c r="I104" s="42">
        <v>26.66</v>
      </c>
      <c r="J104" s="42">
        <f t="shared" si="38"/>
        <v>894.9762000000001</v>
      </c>
      <c r="K104" s="42">
        <v>44.43</v>
      </c>
      <c r="L104" s="43">
        <f t="shared" si="39"/>
        <v>1491.5151</v>
      </c>
      <c r="M104" s="42">
        <f t="shared" si="32"/>
        <v>2485.8585000000003</v>
      </c>
      <c r="N104" s="51">
        <f t="shared" si="33"/>
        <v>74.05</v>
      </c>
    </row>
    <row r="105" spans="2:14" ht="12.75">
      <c r="B105" s="82" t="s">
        <v>188</v>
      </c>
      <c r="C105" s="36">
        <v>72961</v>
      </c>
      <c r="D105" s="40" t="s">
        <v>31</v>
      </c>
      <c r="E105" s="41" t="s">
        <v>12</v>
      </c>
      <c r="F105" s="37">
        <v>5639.34</v>
      </c>
      <c r="G105" s="42">
        <v>0.07</v>
      </c>
      <c r="H105" s="38">
        <f t="shared" si="37"/>
        <v>394.75380000000007</v>
      </c>
      <c r="I105" s="42">
        <v>0</v>
      </c>
      <c r="J105" s="38">
        <f t="shared" si="38"/>
        <v>0</v>
      </c>
      <c r="K105" s="42">
        <v>1.91</v>
      </c>
      <c r="L105" s="39">
        <f t="shared" si="39"/>
        <v>10771.1394</v>
      </c>
      <c r="M105" s="38">
        <f t="shared" si="32"/>
        <v>11165.8932</v>
      </c>
      <c r="N105" s="51">
        <f t="shared" si="33"/>
        <v>1.98</v>
      </c>
    </row>
    <row r="106" spans="1:14" ht="12.75">
      <c r="A106" s="77"/>
      <c r="B106" s="82" t="s">
        <v>189</v>
      </c>
      <c r="C106" s="36" t="s">
        <v>138</v>
      </c>
      <c r="D106" s="76" t="s">
        <v>139</v>
      </c>
      <c r="E106" s="36" t="s">
        <v>12</v>
      </c>
      <c r="F106" s="37">
        <f>F105</f>
        <v>5639.34</v>
      </c>
      <c r="G106" s="38">
        <v>0.01</v>
      </c>
      <c r="H106" s="38">
        <f t="shared" si="37"/>
        <v>56.3934</v>
      </c>
      <c r="I106" s="38">
        <v>0</v>
      </c>
      <c r="J106" s="38">
        <f t="shared" si="38"/>
        <v>0</v>
      </c>
      <c r="K106" s="38">
        <v>0.41</v>
      </c>
      <c r="L106" s="39">
        <f t="shared" si="39"/>
        <v>2312.1294</v>
      </c>
      <c r="M106" s="38">
        <f t="shared" si="32"/>
        <v>2368.5227999999997</v>
      </c>
      <c r="N106" s="51">
        <f t="shared" si="33"/>
        <v>0.42</v>
      </c>
    </row>
    <row r="107" spans="2:14" ht="12.75">
      <c r="B107" s="82" t="s">
        <v>190</v>
      </c>
      <c r="C107" s="36" t="s">
        <v>62</v>
      </c>
      <c r="D107" s="40" t="s">
        <v>129</v>
      </c>
      <c r="E107" s="41" t="s">
        <v>15</v>
      </c>
      <c r="F107" s="52">
        <f>F114*0.13</f>
        <v>604.487</v>
      </c>
      <c r="G107" s="38">
        <v>2.81</v>
      </c>
      <c r="H107" s="38">
        <f t="shared" si="37"/>
        <v>1698.60847</v>
      </c>
      <c r="I107" s="38">
        <v>0</v>
      </c>
      <c r="J107" s="38">
        <f t="shared" si="38"/>
        <v>0</v>
      </c>
      <c r="K107" s="38">
        <v>67.48</v>
      </c>
      <c r="L107" s="39">
        <f t="shared" si="39"/>
        <v>40790.78276</v>
      </c>
      <c r="M107" s="38">
        <f t="shared" si="32"/>
        <v>42489.39123</v>
      </c>
      <c r="N107" s="51">
        <f t="shared" si="33"/>
        <v>70.29</v>
      </c>
    </row>
    <row r="108" spans="2:14" ht="12.75">
      <c r="B108" s="82" t="s">
        <v>191</v>
      </c>
      <c r="C108" s="36">
        <v>72886</v>
      </c>
      <c r="D108" s="40" t="s">
        <v>310</v>
      </c>
      <c r="E108" s="41" t="s">
        <v>93</v>
      </c>
      <c r="F108" s="52">
        <f>F107*30</f>
        <v>18134.61</v>
      </c>
      <c r="G108" s="38">
        <v>0.04</v>
      </c>
      <c r="H108" s="38">
        <f>G108*F108</f>
        <v>725.3844</v>
      </c>
      <c r="I108" s="38">
        <v>0</v>
      </c>
      <c r="J108" s="38">
        <f>I108*F108</f>
        <v>0</v>
      </c>
      <c r="K108" s="38">
        <v>0.98</v>
      </c>
      <c r="L108" s="39">
        <f>K108*F108</f>
        <v>17771.9178</v>
      </c>
      <c r="M108" s="38">
        <f>L108+J108+H108</f>
        <v>18497.3022</v>
      </c>
      <c r="N108" s="51">
        <f>G108+I108+K108</f>
        <v>1.02</v>
      </c>
    </row>
    <row r="109" spans="1:14" ht="12.75">
      <c r="A109" s="77"/>
      <c r="B109" s="82" t="s">
        <v>192</v>
      </c>
      <c r="C109" s="36" t="s">
        <v>134</v>
      </c>
      <c r="D109" s="76" t="s">
        <v>135</v>
      </c>
      <c r="E109" s="36" t="s">
        <v>15</v>
      </c>
      <c r="F109" s="37">
        <f>F107</f>
        <v>604.487</v>
      </c>
      <c r="G109" s="38">
        <v>0.03</v>
      </c>
      <c r="H109" s="38">
        <f t="shared" si="37"/>
        <v>18.13461</v>
      </c>
      <c r="I109" s="38">
        <v>0</v>
      </c>
      <c r="J109" s="38">
        <f t="shared" si="38"/>
        <v>0</v>
      </c>
      <c r="K109" s="38">
        <v>0.8</v>
      </c>
      <c r="L109" s="39">
        <f t="shared" si="39"/>
        <v>483.5896</v>
      </c>
      <c r="M109" s="38">
        <f t="shared" si="32"/>
        <v>501.72421</v>
      </c>
      <c r="N109" s="51">
        <f t="shared" si="33"/>
        <v>0.8300000000000001</v>
      </c>
    </row>
    <row r="110" spans="2:14" ht="12.75">
      <c r="B110" s="82" t="s">
        <v>193</v>
      </c>
      <c r="C110" s="36">
        <v>73710</v>
      </c>
      <c r="D110" s="35" t="s">
        <v>128</v>
      </c>
      <c r="E110" s="41" t="s">
        <v>15</v>
      </c>
      <c r="F110" s="52">
        <f>F114*0.12</f>
        <v>557.9879999999999</v>
      </c>
      <c r="G110" s="42">
        <v>4.33</v>
      </c>
      <c r="H110" s="38">
        <f t="shared" si="37"/>
        <v>2416.0880399999996</v>
      </c>
      <c r="I110" s="42">
        <v>38.99</v>
      </c>
      <c r="J110" s="38">
        <f t="shared" si="38"/>
        <v>21755.952119999998</v>
      </c>
      <c r="K110" s="42">
        <v>64.99</v>
      </c>
      <c r="L110" s="39">
        <f t="shared" si="39"/>
        <v>36263.64012</v>
      </c>
      <c r="M110" s="38">
        <f t="shared" si="32"/>
        <v>60435.68028</v>
      </c>
      <c r="N110" s="51">
        <f t="shared" si="33"/>
        <v>108.31</v>
      </c>
    </row>
    <row r="111" spans="2:14" ht="12.75">
      <c r="B111" s="82" t="s">
        <v>194</v>
      </c>
      <c r="C111" s="36">
        <v>72887</v>
      </c>
      <c r="D111" s="40" t="s">
        <v>271</v>
      </c>
      <c r="E111" s="41" t="s">
        <v>93</v>
      </c>
      <c r="F111" s="52">
        <f>F110*28</f>
        <v>15623.663999999999</v>
      </c>
      <c r="G111" s="38">
        <v>0.03</v>
      </c>
      <c r="H111" s="38">
        <f t="shared" si="37"/>
        <v>468.70991999999995</v>
      </c>
      <c r="I111" s="38">
        <v>0</v>
      </c>
      <c r="J111" s="38">
        <f t="shared" si="38"/>
        <v>0</v>
      </c>
      <c r="K111" s="38">
        <v>0.82</v>
      </c>
      <c r="L111" s="39">
        <f t="shared" si="39"/>
        <v>12811.404479999997</v>
      </c>
      <c r="M111" s="38">
        <f t="shared" si="32"/>
        <v>13280.114399999997</v>
      </c>
      <c r="N111" s="51">
        <f t="shared" si="33"/>
        <v>0.85</v>
      </c>
    </row>
    <row r="112" spans="2:14" ht="12.75">
      <c r="B112" s="82" t="s">
        <v>195</v>
      </c>
      <c r="C112" s="36">
        <v>72886</v>
      </c>
      <c r="D112" s="40" t="s">
        <v>272</v>
      </c>
      <c r="E112" s="41" t="s">
        <v>93</v>
      </c>
      <c r="F112" s="52">
        <f>F110*62</f>
        <v>34595.255999999994</v>
      </c>
      <c r="G112" s="38">
        <v>0.04</v>
      </c>
      <c r="H112" s="38">
        <f t="shared" si="37"/>
        <v>1383.8102399999998</v>
      </c>
      <c r="I112" s="38">
        <v>0</v>
      </c>
      <c r="J112" s="38">
        <f t="shared" si="38"/>
        <v>0</v>
      </c>
      <c r="K112" s="38">
        <v>0.98</v>
      </c>
      <c r="L112" s="39">
        <f t="shared" si="39"/>
        <v>33903.35087999999</v>
      </c>
      <c r="M112" s="38">
        <f t="shared" si="32"/>
        <v>35287.16111999999</v>
      </c>
      <c r="N112" s="51">
        <f t="shared" si="33"/>
        <v>1.02</v>
      </c>
    </row>
    <row r="113" spans="1:14" ht="12.75">
      <c r="A113" s="77"/>
      <c r="B113" s="82" t="s">
        <v>196</v>
      </c>
      <c r="C113" s="36" t="s">
        <v>134</v>
      </c>
      <c r="D113" s="76" t="s">
        <v>140</v>
      </c>
      <c r="E113" s="36" t="s">
        <v>15</v>
      </c>
      <c r="F113" s="37">
        <f>F110</f>
        <v>557.9879999999999</v>
      </c>
      <c r="G113" s="38">
        <v>0.03</v>
      </c>
      <c r="H113" s="38">
        <f t="shared" si="37"/>
        <v>16.739639999999998</v>
      </c>
      <c r="I113" s="38">
        <v>0</v>
      </c>
      <c r="J113" s="38">
        <f t="shared" si="38"/>
        <v>0</v>
      </c>
      <c r="K113" s="38">
        <v>0.8</v>
      </c>
      <c r="L113" s="39">
        <f t="shared" si="39"/>
        <v>446.3904</v>
      </c>
      <c r="M113" s="38">
        <f t="shared" si="32"/>
        <v>463.13004</v>
      </c>
      <c r="N113" s="51">
        <f t="shared" si="33"/>
        <v>0.8300000000000001</v>
      </c>
    </row>
    <row r="114" spans="2:14" ht="12.75">
      <c r="B114" s="82" t="s">
        <v>197</v>
      </c>
      <c r="C114" s="36">
        <v>72945</v>
      </c>
      <c r="D114" s="35" t="s">
        <v>63</v>
      </c>
      <c r="E114" s="41" t="s">
        <v>12</v>
      </c>
      <c r="F114" s="52">
        <v>4649.9</v>
      </c>
      <c r="G114" s="42">
        <v>0.15</v>
      </c>
      <c r="H114" s="38">
        <f t="shared" si="37"/>
        <v>697.4849999999999</v>
      </c>
      <c r="I114" s="42">
        <v>1.38</v>
      </c>
      <c r="J114" s="38">
        <f t="shared" si="38"/>
        <v>6416.861999999999</v>
      </c>
      <c r="K114" s="42">
        <v>2.31</v>
      </c>
      <c r="L114" s="39">
        <f t="shared" si="39"/>
        <v>10741.269</v>
      </c>
      <c r="M114" s="38">
        <f t="shared" si="32"/>
        <v>17855.616</v>
      </c>
      <c r="N114" s="51">
        <f t="shared" si="33"/>
        <v>3.84</v>
      </c>
    </row>
    <row r="115" spans="1:14" ht="12.75">
      <c r="A115" s="77"/>
      <c r="B115" s="82" t="s">
        <v>198</v>
      </c>
      <c r="C115" s="36" t="s">
        <v>136</v>
      </c>
      <c r="D115" s="76" t="s">
        <v>137</v>
      </c>
      <c r="E115" s="36" t="s">
        <v>12</v>
      </c>
      <c r="F115" s="37">
        <f>F114</f>
        <v>4649.9</v>
      </c>
      <c r="G115" s="38">
        <v>0.01</v>
      </c>
      <c r="H115" s="38">
        <f t="shared" si="37"/>
        <v>46.498999999999995</v>
      </c>
      <c r="I115" s="38">
        <v>0</v>
      </c>
      <c r="J115" s="38">
        <f t="shared" si="38"/>
        <v>0</v>
      </c>
      <c r="K115" s="38">
        <v>0.02</v>
      </c>
      <c r="L115" s="39">
        <f t="shared" si="39"/>
        <v>92.99799999999999</v>
      </c>
      <c r="M115" s="38">
        <f t="shared" si="32"/>
        <v>139.49699999999999</v>
      </c>
      <c r="N115" s="51">
        <f t="shared" si="33"/>
        <v>0.03</v>
      </c>
    </row>
    <row r="116" spans="2:14" ht="12.75">
      <c r="B116" s="82" t="s">
        <v>199</v>
      </c>
      <c r="C116" s="36">
        <v>72943</v>
      </c>
      <c r="D116" s="35" t="s">
        <v>64</v>
      </c>
      <c r="E116" s="41" t="s">
        <v>12</v>
      </c>
      <c r="F116" s="52">
        <f>F114</f>
        <v>4649.9</v>
      </c>
      <c r="G116" s="42">
        <v>0.06</v>
      </c>
      <c r="H116" s="38">
        <f t="shared" si="37"/>
        <v>278.99399999999997</v>
      </c>
      <c r="I116" s="42">
        <v>0.54</v>
      </c>
      <c r="J116" s="38">
        <f t="shared" si="38"/>
        <v>2510.946</v>
      </c>
      <c r="K116" s="42">
        <v>0.9</v>
      </c>
      <c r="L116" s="39">
        <f t="shared" si="39"/>
        <v>4184.91</v>
      </c>
      <c r="M116" s="38">
        <f t="shared" si="32"/>
        <v>6974.849999999999</v>
      </c>
      <c r="N116" s="51">
        <f t="shared" si="33"/>
        <v>1.5</v>
      </c>
    </row>
    <row r="117" spans="1:14" ht="12.75">
      <c r="A117" s="77"/>
      <c r="B117" s="82" t="s">
        <v>200</v>
      </c>
      <c r="C117" s="36">
        <v>74259</v>
      </c>
      <c r="D117" s="76" t="s">
        <v>141</v>
      </c>
      <c r="E117" s="36" t="s">
        <v>12</v>
      </c>
      <c r="F117" s="37">
        <f>F116</f>
        <v>4649.9</v>
      </c>
      <c r="G117" s="38">
        <v>0.01</v>
      </c>
      <c r="H117" s="38">
        <f t="shared" si="37"/>
        <v>46.498999999999995</v>
      </c>
      <c r="I117" s="38">
        <v>0</v>
      </c>
      <c r="J117" s="38">
        <f t="shared" si="38"/>
        <v>0</v>
      </c>
      <c r="K117" s="38">
        <v>0.01</v>
      </c>
      <c r="L117" s="39">
        <f t="shared" si="39"/>
        <v>46.498999999999995</v>
      </c>
      <c r="M117" s="38">
        <f t="shared" si="32"/>
        <v>92.99799999999999</v>
      </c>
      <c r="N117" s="51">
        <f t="shared" si="33"/>
        <v>0.02</v>
      </c>
    </row>
    <row r="118" spans="2:14" ht="24">
      <c r="B118" s="82" t="s">
        <v>201</v>
      </c>
      <c r="C118" s="88">
        <v>72965</v>
      </c>
      <c r="D118" s="104" t="s">
        <v>94</v>
      </c>
      <c r="E118" s="78" t="s">
        <v>15</v>
      </c>
      <c r="F118" s="91">
        <f>F116*0.05</f>
        <v>232.495</v>
      </c>
      <c r="G118" s="79">
        <v>24.59</v>
      </c>
      <c r="H118" s="79">
        <f t="shared" si="37"/>
        <v>5717.05205</v>
      </c>
      <c r="I118" s="79">
        <v>221.33</v>
      </c>
      <c r="J118" s="79">
        <f t="shared" si="38"/>
        <v>51458.118350000004</v>
      </c>
      <c r="K118" s="79">
        <v>368.89</v>
      </c>
      <c r="L118" s="80">
        <f t="shared" si="39"/>
        <v>85765.08055</v>
      </c>
      <c r="M118" s="79">
        <f t="shared" si="32"/>
        <v>142940.25095000002</v>
      </c>
      <c r="N118" s="97">
        <f t="shared" si="33"/>
        <v>614.81</v>
      </c>
    </row>
    <row r="119" spans="2:14" ht="12.75">
      <c r="B119" s="82" t="s">
        <v>202</v>
      </c>
      <c r="C119" s="36">
        <v>72887</v>
      </c>
      <c r="D119" s="40" t="s">
        <v>273</v>
      </c>
      <c r="E119" s="41" t="s">
        <v>93</v>
      </c>
      <c r="F119" s="52">
        <f>F118*70</f>
        <v>16274.65</v>
      </c>
      <c r="G119" s="38">
        <v>0.03</v>
      </c>
      <c r="H119" s="38">
        <f t="shared" si="37"/>
        <v>488.23949999999996</v>
      </c>
      <c r="I119" s="38">
        <v>0</v>
      </c>
      <c r="J119" s="38">
        <f t="shared" si="38"/>
        <v>0</v>
      </c>
      <c r="K119" s="38">
        <v>0.82</v>
      </c>
      <c r="L119" s="39">
        <f t="shared" si="39"/>
        <v>13345.213</v>
      </c>
      <c r="M119" s="38">
        <f>L119+J119+H119</f>
        <v>13833.4525</v>
      </c>
      <c r="N119" s="51">
        <f>G119+I119+K119</f>
        <v>0.85</v>
      </c>
    </row>
    <row r="120" spans="2:14" ht="12.75">
      <c r="B120" s="82" t="s">
        <v>203</v>
      </c>
      <c r="C120" s="36">
        <v>72886</v>
      </c>
      <c r="D120" s="40" t="s">
        <v>274</v>
      </c>
      <c r="E120" s="41" t="s">
        <v>93</v>
      </c>
      <c r="F120" s="52">
        <f>F118*69</f>
        <v>16042.155</v>
      </c>
      <c r="G120" s="38">
        <v>0.04</v>
      </c>
      <c r="H120" s="38">
        <f t="shared" si="37"/>
        <v>641.6862</v>
      </c>
      <c r="I120" s="38">
        <v>0</v>
      </c>
      <c r="J120" s="38">
        <f t="shared" si="38"/>
        <v>0</v>
      </c>
      <c r="K120" s="38">
        <v>0.98</v>
      </c>
      <c r="L120" s="39">
        <f t="shared" si="39"/>
        <v>15721.3119</v>
      </c>
      <c r="M120" s="38">
        <f t="shared" si="32"/>
        <v>16362.9981</v>
      </c>
      <c r="N120" s="51">
        <f t="shared" si="33"/>
        <v>1.02</v>
      </c>
    </row>
    <row r="121" spans="2:14" ht="24">
      <c r="B121" s="82" t="s">
        <v>204</v>
      </c>
      <c r="C121" s="88">
        <v>72891</v>
      </c>
      <c r="D121" s="104" t="s">
        <v>95</v>
      </c>
      <c r="E121" s="78" t="s">
        <v>15</v>
      </c>
      <c r="F121" s="91">
        <f>F118</f>
        <v>232.495</v>
      </c>
      <c r="G121" s="79">
        <v>0.17</v>
      </c>
      <c r="H121" s="79">
        <f aca="true" t="shared" si="40" ref="H121:H127">G121*F121</f>
        <v>39.524150000000006</v>
      </c>
      <c r="I121" s="79">
        <v>0</v>
      </c>
      <c r="J121" s="79">
        <f aca="true" t="shared" si="41" ref="J121:J127">I121*F121</f>
        <v>0</v>
      </c>
      <c r="K121" s="79">
        <v>4.31</v>
      </c>
      <c r="L121" s="80">
        <f aca="true" t="shared" si="42" ref="L121:L127">K121*F121</f>
        <v>1002.0534499999999</v>
      </c>
      <c r="M121" s="79">
        <f t="shared" si="32"/>
        <v>1041.5775999999998</v>
      </c>
      <c r="N121" s="97">
        <f t="shared" si="33"/>
        <v>4.4799999999999995</v>
      </c>
    </row>
    <row r="122" spans="1:14" ht="12.75">
      <c r="A122" s="77"/>
      <c r="B122" s="82" t="s">
        <v>205</v>
      </c>
      <c r="C122" s="36" t="s">
        <v>142</v>
      </c>
      <c r="D122" s="76" t="s">
        <v>143</v>
      </c>
      <c r="E122" s="36" t="s">
        <v>144</v>
      </c>
      <c r="F122" s="37">
        <f>F118*2.55</f>
        <v>592.86225</v>
      </c>
      <c r="G122" s="38">
        <v>0.96</v>
      </c>
      <c r="H122" s="38">
        <f t="shared" si="40"/>
        <v>569.14776</v>
      </c>
      <c r="I122" s="38">
        <v>0</v>
      </c>
      <c r="J122" s="38">
        <f t="shared" si="41"/>
        <v>0</v>
      </c>
      <c r="K122" s="38">
        <v>23.11</v>
      </c>
      <c r="L122" s="39">
        <f t="shared" si="42"/>
        <v>13701.0465975</v>
      </c>
      <c r="M122" s="38">
        <f t="shared" si="32"/>
        <v>14270.1943575</v>
      </c>
      <c r="N122" s="51">
        <f t="shared" si="33"/>
        <v>24.07</v>
      </c>
    </row>
    <row r="123" spans="2:14" ht="12.75">
      <c r="B123" s="82" t="s">
        <v>269</v>
      </c>
      <c r="C123" s="36">
        <v>7011</v>
      </c>
      <c r="D123" s="35" t="s">
        <v>75</v>
      </c>
      <c r="E123" s="41" t="s">
        <v>33</v>
      </c>
      <c r="F123" s="52">
        <v>1032.2</v>
      </c>
      <c r="G123" s="42">
        <v>0.12</v>
      </c>
      <c r="H123" s="38">
        <f t="shared" si="40"/>
        <v>123.864</v>
      </c>
      <c r="I123" s="42">
        <v>0</v>
      </c>
      <c r="J123" s="38">
        <f t="shared" si="41"/>
        <v>0</v>
      </c>
      <c r="K123" s="42">
        <v>3</v>
      </c>
      <c r="L123" s="39">
        <f t="shared" si="42"/>
        <v>3096.6000000000004</v>
      </c>
      <c r="M123" s="38">
        <f t="shared" si="32"/>
        <v>3220.4640000000004</v>
      </c>
      <c r="N123" s="51">
        <f t="shared" si="33"/>
        <v>3.12</v>
      </c>
    </row>
    <row r="124" spans="2:14" ht="12.75">
      <c r="B124" s="82" t="s">
        <v>277</v>
      </c>
      <c r="C124" s="36" t="s">
        <v>65</v>
      </c>
      <c r="D124" s="35" t="s">
        <v>32</v>
      </c>
      <c r="E124" s="41" t="s">
        <v>33</v>
      </c>
      <c r="F124" s="52">
        <f>F123</f>
        <v>1032.2</v>
      </c>
      <c r="G124" s="42">
        <v>1.29</v>
      </c>
      <c r="H124" s="38">
        <f t="shared" si="40"/>
        <v>1331.538</v>
      </c>
      <c r="I124" s="42">
        <v>11.66</v>
      </c>
      <c r="J124" s="38">
        <f t="shared" si="41"/>
        <v>12035.452000000001</v>
      </c>
      <c r="K124" s="42">
        <v>19.44</v>
      </c>
      <c r="L124" s="39">
        <f t="shared" si="42"/>
        <v>20065.968</v>
      </c>
      <c r="M124" s="38">
        <f t="shared" si="32"/>
        <v>33432.958</v>
      </c>
      <c r="N124" s="51">
        <f t="shared" si="33"/>
        <v>32.39</v>
      </c>
    </row>
    <row r="125" spans="2:14" ht="12.75">
      <c r="B125" s="82" t="s">
        <v>304</v>
      </c>
      <c r="C125" s="36" t="s">
        <v>67</v>
      </c>
      <c r="D125" s="35" t="s">
        <v>66</v>
      </c>
      <c r="E125" s="41" t="s">
        <v>12</v>
      </c>
      <c r="F125" s="52">
        <f>F124*0.27</f>
        <v>278.694</v>
      </c>
      <c r="G125" s="42">
        <v>0.24</v>
      </c>
      <c r="H125" s="38">
        <f t="shared" si="40"/>
        <v>66.88656</v>
      </c>
      <c r="I125" s="42">
        <v>2.21</v>
      </c>
      <c r="J125" s="38">
        <f t="shared" si="41"/>
        <v>615.9137400000001</v>
      </c>
      <c r="K125" s="42">
        <v>3.68</v>
      </c>
      <c r="L125" s="39">
        <f t="shared" si="42"/>
        <v>1025.59392</v>
      </c>
      <c r="M125" s="38">
        <f t="shared" si="32"/>
        <v>1708.3942200000001</v>
      </c>
      <c r="N125" s="51">
        <f t="shared" si="33"/>
        <v>6.130000000000001</v>
      </c>
    </row>
    <row r="126" spans="2:14" ht="24">
      <c r="B126" s="82" t="s">
        <v>313</v>
      </c>
      <c r="C126" s="88">
        <v>72947</v>
      </c>
      <c r="D126" s="92" t="s">
        <v>130</v>
      </c>
      <c r="E126" s="78" t="s">
        <v>12</v>
      </c>
      <c r="F126" s="93">
        <f>(579.69*0.15)+(4*0.4*15)*5</f>
        <v>206.95350000000002</v>
      </c>
      <c r="G126" s="79">
        <v>0.67</v>
      </c>
      <c r="H126" s="79">
        <f t="shared" si="40"/>
        <v>138.658845</v>
      </c>
      <c r="I126" s="79">
        <v>6.11</v>
      </c>
      <c r="J126" s="79">
        <f t="shared" si="41"/>
        <v>1264.4858850000003</v>
      </c>
      <c r="K126" s="79">
        <v>10.19</v>
      </c>
      <c r="L126" s="80">
        <f t="shared" si="42"/>
        <v>2108.856165</v>
      </c>
      <c r="M126" s="79">
        <f t="shared" si="32"/>
        <v>3512.000895</v>
      </c>
      <c r="N126" s="97">
        <f t="shared" si="33"/>
        <v>16.97</v>
      </c>
    </row>
    <row r="127" spans="2:14" ht="13.5" thickBot="1">
      <c r="B127" s="82" t="s">
        <v>314</v>
      </c>
      <c r="C127" s="88" t="s">
        <v>74</v>
      </c>
      <c r="D127" s="40" t="s">
        <v>52</v>
      </c>
      <c r="E127" s="41" t="s">
        <v>12</v>
      </c>
      <c r="F127" s="81">
        <f>10*0.5</f>
        <v>5</v>
      </c>
      <c r="G127" s="42">
        <v>14.93</v>
      </c>
      <c r="H127" s="42">
        <f t="shared" si="40"/>
        <v>74.65</v>
      </c>
      <c r="I127" s="42">
        <v>134.38</v>
      </c>
      <c r="J127" s="42">
        <f t="shared" si="41"/>
        <v>671.9</v>
      </c>
      <c r="K127" s="42">
        <v>223.97</v>
      </c>
      <c r="L127" s="43">
        <f t="shared" si="42"/>
        <v>1119.85</v>
      </c>
      <c r="M127" s="42">
        <f t="shared" si="32"/>
        <v>1866.4</v>
      </c>
      <c r="N127" s="51">
        <f t="shared" si="33"/>
        <v>373.28</v>
      </c>
    </row>
    <row r="128" spans="2:14" s="14" customFormat="1" ht="13.5" thickBot="1">
      <c r="B128" s="44"/>
      <c r="C128" s="86"/>
      <c r="D128" s="45" t="s">
        <v>6</v>
      </c>
      <c r="E128" s="46"/>
      <c r="F128" s="47"/>
      <c r="G128" s="48"/>
      <c r="H128" s="48">
        <f>SUM(H90:H127)</f>
        <v>19768.719835000007</v>
      </c>
      <c r="I128" s="48"/>
      <c r="J128" s="48">
        <f>SUM(J90:J127)</f>
        <v>101699.42289500001</v>
      </c>
      <c r="K128" s="49"/>
      <c r="L128" s="48">
        <f>SUM(L90:L127)</f>
        <v>379439.3560624999</v>
      </c>
      <c r="M128" s="50">
        <f>H128+J128+L128</f>
        <v>500907.49879249994</v>
      </c>
      <c r="N128" s="27"/>
    </row>
    <row r="129" spans="2:14" ht="12.75">
      <c r="B129" s="25"/>
      <c r="C129" s="54"/>
      <c r="D129" s="25"/>
      <c r="E129" s="25"/>
      <c r="F129" s="26"/>
      <c r="G129" s="27"/>
      <c r="H129" s="28"/>
      <c r="I129" s="27"/>
      <c r="J129" s="28"/>
      <c r="K129" s="27"/>
      <c r="L129" s="28"/>
      <c r="M129" s="27"/>
      <c r="N129" s="27"/>
    </row>
    <row r="130" spans="2:14" s="14" customFormat="1" ht="12.75">
      <c r="B130" s="31" t="s">
        <v>44</v>
      </c>
      <c r="C130" s="87"/>
      <c r="D130" s="31" t="s">
        <v>30</v>
      </c>
      <c r="E130" s="31"/>
      <c r="F130" s="32"/>
      <c r="G130" s="33"/>
      <c r="H130" s="33"/>
      <c r="I130" s="33"/>
      <c r="J130" s="33"/>
      <c r="K130" s="33"/>
      <c r="L130" s="34"/>
      <c r="M130" s="33"/>
      <c r="N130" s="27"/>
    </row>
    <row r="131" spans="2:14" ht="12.75">
      <c r="B131" s="40" t="s">
        <v>45</v>
      </c>
      <c r="C131" s="41"/>
      <c r="D131" s="40" t="s">
        <v>54</v>
      </c>
      <c r="E131" s="41" t="s">
        <v>253</v>
      </c>
      <c r="F131" s="52">
        <v>1</v>
      </c>
      <c r="G131" s="42">
        <v>1632</v>
      </c>
      <c r="H131" s="42">
        <f>F131*G131</f>
        <v>1632</v>
      </c>
      <c r="I131" s="42">
        <v>0</v>
      </c>
      <c r="J131" s="42">
        <f>F131*I131</f>
        <v>0</v>
      </c>
      <c r="K131" s="42">
        <v>39168</v>
      </c>
      <c r="L131" s="42">
        <f>F131*K131</f>
        <v>39168</v>
      </c>
      <c r="M131" s="42">
        <f>L131+J131+H131</f>
        <v>40800</v>
      </c>
      <c r="N131" s="51">
        <f>G131+I131+K131</f>
        <v>40800</v>
      </c>
    </row>
    <row r="132" spans="2:14" ht="13.5" thickBot="1">
      <c r="B132" s="40" t="s">
        <v>46</v>
      </c>
      <c r="C132" s="41" t="s">
        <v>82</v>
      </c>
      <c r="D132" s="40" t="s">
        <v>81</v>
      </c>
      <c r="E132" s="41" t="s">
        <v>12</v>
      </c>
      <c r="F132" s="52">
        <v>4</v>
      </c>
      <c r="G132" s="42">
        <v>12.89</v>
      </c>
      <c r="H132" s="42">
        <f>G132*F132</f>
        <v>51.56</v>
      </c>
      <c r="I132" s="42">
        <v>116</v>
      </c>
      <c r="J132" s="42">
        <f>I132*F132</f>
        <v>464</v>
      </c>
      <c r="K132" s="42">
        <v>193.33</v>
      </c>
      <c r="L132" s="43">
        <f>K132*F132</f>
        <v>773.32</v>
      </c>
      <c r="M132" s="42">
        <f>L132+J132+H132</f>
        <v>1288.88</v>
      </c>
      <c r="N132" s="51">
        <f>G132+I132+K132</f>
        <v>322.22</v>
      </c>
    </row>
    <row r="133" spans="2:14" ht="13.5" thickBot="1">
      <c r="B133" s="55"/>
      <c r="C133" s="89"/>
      <c r="D133" s="46" t="s">
        <v>6</v>
      </c>
      <c r="E133" s="56"/>
      <c r="F133" s="57"/>
      <c r="G133" s="48"/>
      <c r="H133" s="48">
        <f>SUM(H131:H132)</f>
        <v>1683.56</v>
      </c>
      <c r="I133" s="48"/>
      <c r="J133" s="48">
        <f>SUM(J131:J132)</f>
        <v>464</v>
      </c>
      <c r="K133" s="48"/>
      <c r="L133" s="48">
        <f>SUM(L131:L132)</f>
        <v>39941.32</v>
      </c>
      <c r="M133" s="50">
        <f>H133+J133+L133</f>
        <v>42088.88</v>
      </c>
      <c r="N133" s="28"/>
    </row>
    <row r="134" spans="2:14" ht="12.75">
      <c r="B134" s="25"/>
      <c r="C134" s="54"/>
      <c r="D134" s="25"/>
      <c r="E134" s="25"/>
      <c r="F134" s="58"/>
      <c r="G134" s="27"/>
      <c r="H134" s="28"/>
      <c r="I134" s="27"/>
      <c r="J134" s="51"/>
      <c r="K134" s="51"/>
      <c r="L134" s="51"/>
      <c r="M134" s="27"/>
      <c r="N134" s="28"/>
    </row>
    <row r="135" spans="2:14" ht="6.75" customHeight="1" thickBot="1">
      <c r="B135" s="25"/>
      <c r="C135" s="54"/>
      <c r="D135" s="25"/>
      <c r="E135" s="25"/>
      <c r="F135" s="58"/>
      <c r="G135" s="27"/>
      <c r="H135" s="28"/>
      <c r="I135" s="27"/>
      <c r="J135" s="51"/>
      <c r="K135" s="51"/>
      <c r="L135" s="51"/>
      <c r="M135" s="27"/>
      <c r="N135" s="28"/>
    </row>
    <row r="136" spans="2:14" s="14" customFormat="1" ht="13.5" thickBot="1">
      <c r="B136" s="53"/>
      <c r="C136" s="90"/>
      <c r="D136" s="45" t="s">
        <v>23</v>
      </c>
      <c r="E136" s="45"/>
      <c r="F136" s="49"/>
      <c r="G136" s="48"/>
      <c r="H136" s="48">
        <f>H133+H87+H47+H128</f>
        <v>64167.82615800001</v>
      </c>
      <c r="I136" s="48"/>
      <c r="J136" s="48">
        <f>J133+J87+J47+J128</f>
        <v>326166.362107</v>
      </c>
      <c r="K136" s="48"/>
      <c r="L136" s="48">
        <f>L133+L87+L47+L128</f>
        <v>1235317.6906787497</v>
      </c>
      <c r="M136" s="50">
        <f>L136+J136+H136</f>
        <v>1625651.8789437497</v>
      </c>
      <c r="N136" s="27"/>
    </row>
    <row r="137" spans="2:14" ht="12.75">
      <c r="B137" s="25"/>
      <c r="C137" s="54"/>
      <c r="D137" s="96" t="s">
        <v>84</v>
      </c>
      <c r="E137" s="25"/>
      <c r="F137" s="58"/>
      <c r="G137" s="27"/>
      <c r="H137" s="28"/>
      <c r="I137" s="27"/>
      <c r="J137" s="28"/>
      <c r="K137" s="27"/>
      <c r="L137" s="28"/>
      <c r="M137" s="27"/>
      <c r="N137" s="28"/>
    </row>
    <row r="138" spans="2:14" ht="12.75">
      <c r="B138" s="25"/>
      <c r="C138" s="54"/>
      <c r="D138" s="96"/>
      <c r="E138" s="25"/>
      <c r="F138" s="58"/>
      <c r="G138" s="27"/>
      <c r="H138" s="28"/>
      <c r="I138" s="27"/>
      <c r="J138" s="28"/>
      <c r="K138" s="27"/>
      <c r="L138" s="28"/>
      <c r="M138" s="27"/>
      <c r="N138" s="28"/>
    </row>
    <row r="139" spans="2:14" ht="12.75">
      <c r="B139" s="25"/>
      <c r="C139" s="111" t="s">
        <v>289</v>
      </c>
      <c r="D139" s="59" t="s">
        <v>305</v>
      </c>
      <c r="E139" s="25"/>
      <c r="F139" s="58"/>
      <c r="G139" s="27"/>
      <c r="H139" s="28"/>
      <c r="I139" s="27"/>
      <c r="J139" s="28"/>
      <c r="K139" s="27"/>
      <c r="L139" s="28"/>
      <c r="M139" s="27"/>
      <c r="N139" s="28"/>
    </row>
    <row r="140" spans="2:14" ht="12.75">
      <c r="B140" s="25"/>
      <c r="C140" s="54"/>
      <c r="D140" s="59" t="s">
        <v>315</v>
      </c>
      <c r="E140" s="25"/>
      <c r="F140" s="58"/>
      <c r="G140" s="27"/>
      <c r="H140" s="28"/>
      <c r="I140" s="27"/>
      <c r="J140" s="28"/>
      <c r="K140" s="27"/>
      <c r="L140" s="28"/>
      <c r="M140" s="27"/>
      <c r="N140" s="28"/>
    </row>
    <row r="141" spans="2:14" ht="12.75">
      <c r="B141" s="25"/>
      <c r="C141" s="54"/>
      <c r="D141" s="25"/>
      <c r="E141" s="25"/>
      <c r="F141" s="58"/>
      <c r="G141" s="27"/>
      <c r="H141" s="28"/>
      <c r="I141" s="27"/>
      <c r="J141" s="28"/>
      <c r="K141" s="27"/>
      <c r="L141" s="28"/>
      <c r="M141" s="27"/>
      <c r="N141" s="28"/>
    </row>
    <row r="142" spans="2:14" ht="12.75">
      <c r="B142" s="25"/>
      <c r="C142" s="54" t="s">
        <v>89</v>
      </c>
      <c r="D142" s="109" t="s">
        <v>307</v>
      </c>
      <c r="E142" s="110"/>
      <c r="F142" s="110"/>
      <c r="G142" s="110"/>
      <c r="H142" s="28"/>
      <c r="I142" s="27"/>
      <c r="J142" s="28"/>
      <c r="K142" s="27"/>
      <c r="L142" s="28"/>
      <c r="M142" s="27"/>
      <c r="N142" s="28"/>
    </row>
    <row r="143" spans="2:14" ht="12.75">
      <c r="B143" s="25"/>
      <c r="C143" s="25"/>
      <c r="D143" s="109" t="s">
        <v>306</v>
      </c>
      <c r="E143" s="25"/>
      <c r="F143" s="58"/>
      <c r="G143" s="27"/>
      <c r="H143" s="28"/>
      <c r="I143" s="27"/>
      <c r="J143" s="28"/>
      <c r="K143" s="27"/>
      <c r="L143" s="28"/>
      <c r="M143" s="27"/>
      <c r="N143" s="28"/>
    </row>
    <row r="144" spans="2:14" ht="12.75">
      <c r="B144" s="25"/>
      <c r="C144" s="25"/>
      <c r="D144" s="109" t="s">
        <v>270</v>
      </c>
      <c r="E144" s="25"/>
      <c r="F144" s="58"/>
      <c r="G144" s="27"/>
      <c r="H144" s="28"/>
      <c r="I144" s="27"/>
      <c r="J144" s="28"/>
      <c r="K144" s="27"/>
      <c r="L144" s="28"/>
      <c r="M144" s="27"/>
      <c r="N144" s="28"/>
    </row>
    <row r="145" spans="2:14" ht="12.75">
      <c r="B145" s="25"/>
      <c r="C145" s="54"/>
      <c r="D145" s="25"/>
      <c r="E145" s="25"/>
      <c r="F145" s="58"/>
      <c r="G145" s="27"/>
      <c r="H145" s="28"/>
      <c r="I145" s="27"/>
      <c r="J145" s="28"/>
      <c r="K145" s="27"/>
      <c r="L145" s="28"/>
      <c r="M145" s="27"/>
      <c r="N145" s="28"/>
    </row>
    <row r="146" spans="2:14" ht="12.75">
      <c r="B146" s="25"/>
      <c r="C146" s="54"/>
      <c r="D146" s="54" t="s">
        <v>292</v>
      </c>
      <c r="E146" s="25"/>
      <c r="F146" s="58"/>
      <c r="G146" s="27"/>
      <c r="H146" s="28"/>
      <c r="I146" s="27"/>
      <c r="J146" s="28"/>
      <c r="K146" s="27"/>
      <c r="L146" s="28"/>
      <c r="M146" s="27"/>
      <c r="N146" s="28"/>
    </row>
    <row r="147" spans="2:14" ht="12.75">
      <c r="B147" s="25"/>
      <c r="C147" s="25"/>
      <c r="D147" s="25"/>
      <c r="E147" s="25"/>
      <c r="F147" s="58"/>
      <c r="G147" s="27"/>
      <c r="H147" s="28"/>
      <c r="I147" s="27"/>
      <c r="J147" s="28"/>
      <c r="K147" s="27"/>
      <c r="L147" s="28"/>
      <c r="M147" s="27"/>
      <c r="N147" s="28"/>
    </row>
    <row r="148" spans="2:14" ht="12.75">
      <c r="B148" s="25"/>
      <c r="C148" s="25"/>
      <c r="D148" s="25"/>
      <c r="E148" s="25"/>
      <c r="F148" s="58"/>
      <c r="G148" s="27"/>
      <c r="H148" s="28"/>
      <c r="I148" s="27"/>
      <c r="J148" s="28"/>
      <c r="K148" s="27"/>
      <c r="L148" s="28"/>
      <c r="M148" s="27"/>
      <c r="N148" s="28"/>
    </row>
    <row r="149" spans="2:14" ht="12.75">
      <c r="B149" s="25"/>
      <c r="C149" s="25"/>
      <c r="D149" s="25"/>
      <c r="E149" s="25"/>
      <c r="F149" s="58"/>
      <c r="G149" s="27"/>
      <c r="H149" s="28"/>
      <c r="I149" s="27"/>
      <c r="J149" s="28"/>
      <c r="K149" s="27"/>
      <c r="L149" s="28"/>
      <c r="M149" s="27"/>
      <c r="N149" s="28"/>
    </row>
    <row r="150" spans="2:14" ht="12.75">
      <c r="B150" s="25"/>
      <c r="C150" s="25"/>
      <c r="D150" s="25"/>
      <c r="E150" s="25"/>
      <c r="F150" s="58"/>
      <c r="G150" s="27"/>
      <c r="H150" s="28"/>
      <c r="I150" s="27"/>
      <c r="J150" s="28"/>
      <c r="K150" s="27"/>
      <c r="L150" s="28"/>
      <c r="M150" s="27"/>
      <c r="N150" s="28"/>
    </row>
    <row r="151" spans="2:14" ht="12.75">
      <c r="B151" s="25"/>
      <c r="C151" s="25"/>
      <c r="D151" s="25"/>
      <c r="E151" s="25"/>
      <c r="F151" s="58"/>
      <c r="G151" s="27"/>
      <c r="H151" s="28"/>
      <c r="I151" s="27"/>
      <c r="J151" s="28"/>
      <c r="K151" s="27"/>
      <c r="L151" s="28"/>
      <c r="M151" s="27"/>
      <c r="N151" s="28"/>
    </row>
    <row r="152" spans="2:14" ht="12.75">
      <c r="B152" s="25"/>
      <c r="C152" s="25"/>
      <c r="D152" s="25"/>
      <c r="E152" s="25"/>
      <c r="F152" s="58"/>
      <c r="G152" s="27"/>
      <c r="H152" s="28"/>
      <c r="I152" s="27"/>
      <c r="J152" s="28"/>
      <c r="K152" s="27"/>
      <c r="L152" s="28"/>
      <c r="M152" s="27"/>
      <c r="N152" s="28"/>
    </row>
    <row r="153" spans="2:14" ht="12.75">
      <c r="B153" s="25"/>
      <c r="C153" s="25"/>
      <c r="D153" s="25"/>
      <c r="E153" s="25"/>
      <c r="F153" s="58"/>
      <c r="G153" s="27"/>
      <c r="H153" s="28"/>
      <c r="I153" s="27"/>
      <c r="J153" s="28"/>
      <c r="K153" s="27"/>
      <c r="L153" s="28"/>
      <c r="M153" s="27"/>
      <c r="N153" s="28"/>
    </row>
  </sheetData>
  <sheetProtection/>
  <mergeCells count="6">
    <mergeCell ref="M7:M8"/>
    <mergeCell ref="B7:B8"/>
    <mergeCell ref="C7:C8"/>
    <mergeCell ref="D7:D8"/>
    <mergeCell ref="E7:E8"/>
    <mergeCell ref="F7:F8"/>
  </mergeCells>
  <printOptions/>
  <pageMargins left="0.5905511811023623" right="0.5905511811023623" top="0.6692913385826772" bottom="0.7086614173228347" header="0.5118110236220472" footer="0.5118110236220472"/>
  <pageSetup fitToHeight="8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90" zoomScaleNormal="90" workbookViewId="0" topLeftCell="A1">
      <pane ySplit="8" topLeftCell="A9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.8515625" style="1" customWidth="1"/>
    <col min="2" max="2" width="4.7109375" style="1" customWidth="1"/>
    <col min="3" max="3" width="9.8515625" style="1" hidden="1" customWidth="1"/>
    <col min="4" max="4" width="69.421875" style="1" customWidth="1"/>
    <col min="5" max="5" width="6.28125" style="1" customWidth="1"/>
    <col min="6" max="6" width="10.421875" style="2" customWidth="1"/>
    <col min="7" max="7" width="8.8515625" style="3" customWidth="1"/>
    <col min="8" max="8" width="10.57421875" style="4" bestFit="1" customWidth="1"/>
    <col min="9" max="9" width="8.8515625" style="3" customWidth="1"/>
    <col min="10" max="10" width="13.00390625" style="4" customWidth="1"/>
    <col min="11" max="11" width="9.8515625" style="3" bestFit="1" customWidth="1"/>
    <col min="12" max="12" width="11.57421875" style="4" customWidth="1"/>
    <col min="13" max="13" width="11.8515625" style="3" customWidth="1"/>
    <col min="14" max="14" width="9.140625" style="4" customWidth="1"/>
    <col min="15" max="16384" width="9.140625" style="1" customWidth="1"/>
  </cols>
  <sheetData>
    <row r="1" spans="2:13" ht="25.5">
      <c r="B1" s="6"/>
      <c r="C1" s="85"/>
      <c r="D1" s="7" t="s">
        <v>0</v>
      </c>
      <c r="E1" s="8"/>
      <c r="F1" s="8"/>
      <c r="G1" s="8"/>
      <c r="H1" s="9"/>
      <c r="I1" s="10"/>
      <c r="J1" s="9" t="s">
        <v>83</v>
      </c>
      <c r="K1" s="95">
        <v>40544</v>
      </c>
      <c r="L1" s="9"/>
      <c r="M1" s="11"/>
    </row>
    <row r="2" spans="2:13" ht="15.75">
      <c r="B2" s="12"/>
      <c r="D2" s="13"/>
      <c r="E2" s="14"/>
      <c r="F2" s="14"/>
      <c r="G2" s="14"/>
      <c r="M2" s="15"/>
    </row>
    <row r="3" spans="2:13" ht="15.75">
      <c r="B3" s="12"/>
      <c r="D3" s="13" t="s">
        <v>316</v>
      </c>
      <c r="M3" s="15"/>
    </row>
    <row r="4" spans="2:13" ht="15.75">
      <c r="B4" s="12"/>
      <c r="D4" s="13" t="s">
        <v>96</v>
      </c>
      <c r="E4" s="16"/>
      <c r="F4" s="16"/>
      <c r="G4" s="16"/>
      <c r="H4" s="16"/>
      <c r="I4" s="16"/>
      <c r="J4" s="99"/>
      <c r="K4" s="16"/>
      <c r="L4" s="16"/>
      <c r="M4" s="17"/>
    </row>
    <row r="5" spans="2:13" ht="16.5" thickBot="1">
      <c r="B5" s="18"/>
      <c r="C5" s="20"/>
      <c r="D5" s="19" t="s">
        <v>97</v>
      </c>
      <c r="E5" s="20"/>
      <c r="F5" s="21"/>
      <c r="G5" s="22"/>
      <c r="H5" s="23"/>
      <c r="I5" s="23"/>
      <c r="J5" s="23"/>
      <c r="K5" s="98"/>
      <c r="L5" s="23"/>
      <c r="M5" s="24"/>
    </row>
    <row r="6" spans="2:14" ht="12.75">
      <c r="B6" s="25"/>
      <c r="C6" s="25"/>
      <c r="D6" s="25"/>
      <c r="E6" s="25"/>
      <c r="F6" s="26"/>
      <c r="G6" s="27"/>
      <c r="H6" s="28"/>
      <c r="I6" s="27"/>
      <c r="J6" s="28"/>
      <c r="K6" s="27"/>
      <c r="L6" s="28"/>
      <c r="M6" s="27"/>
      <c r="N6" s="28"/>
    </row>
    <row r="7" spans="2:14" s="14" customFormat="1" ht="12.75">
      <c r="B7" s="114" t="s">
        <v>1</v>
      </c>
      <c r="C7" s="114" t="s">
        <v>98</v>
      </c>
      <c r="D7" s="114" t="s">
        <v>2</v>
      </c>
      <c r="E7" s="114" t="s">
        <v>3</v>
      </c>
      <c r="F7" s="115" t="s">
        <v>4</v>
      </c>
      <c r="G7" s="29" t="s">
        <v>5</v>
      </c>
      <c r="H7" s="29" t="s">
        <v>6</v>
      </c>
      <c r="I7" s="29" t="s">
        <v>5</v>
      </c>
      <c r="J7" s="29" t="s">
        <v>6</v>
      </c>
      <c r="K7" s="29" t="s">
        <v>5</v>
      </c>
      <c r="L7" s="29" t="s">
        <v>6</v>
      </c>
      <c r="M7" s="113" t="s">
        <v>6</v>
      </c>
      <c r="N7" s="27"/>
    </row>
    <row r="8" spans="2:14" s="14" customFormat="1" ht="12.75">
      <c r="B8" s="114"/>
      <c r="C8" s="114"/>
      <c r="D8" s="114"/>
      <c r="E8" s="114"/>
      <c r="F8" s="116"/>
      <c r="G8" s="30" t="s">
        <v>7</v>
      </c>
      <c r="H8" s="30" t="s">
        <v>7</v>
      </c>
      <c r="I8" s="30" t="s">
        <v>8</v>
      </c>
      <c r="J8" s="30" t="s">
        <v>8</v>
      </c>
      <c r="K8" s="30" t="s">
        <v>9</v>
      </c>
      <c r="L8" s="30" t="s">
        <v>9</v>
      </c>
      <c r="M8" s="113"/>
      <c r="N8" s="51" t="s">
        <v>88</v>
      </c>
    </row>
    <row r="9" spans="2:14" s="14" customFormat="1" ht="12.75">
      <c r="B9" s="31" t="s">
        <v>10</v>
      </c>
      <c r="C9" s="31"/>
      <c r="D9" s="31" t="s">
        <v>102</v>
      </c>
      <c r="E9" s="31"/>
      <c r="F9" s="32"/>
      <c r="G9" s="33"/>
      <c r="H9" s="33"/>
      <c r="I9" s="33"/>
      <c r="J9" s="33"/>
      <c r="K9" s="33"/>
      <c r="L9" s="34"/>
      <c r="M9" s="33"/>
      <c r="N9" s="27"/>
    </row>
    <row r="10" spans="1:14" ht="12.75">
      <c r="A10" s="77"/>
      <c r="B10" s="76" t="s">
        <v>11</v>
      </c>
      <c r="C10" s="36">
        <v>73610</v>
      </c>
      <c r="D10" s="35" t="s">
        <v>261</v>
      </c>
      <c r="E10" s="36" t="s">
        <v>33</v>
      </c>
      <c r="F10" s="37">
        <v>351</v>
      </c>
      <c r="G10" s="38">
        <v>0.32</v>
      </c>
      <c r="H10" s="38">
        <f>G10*F10</f>
        <v>112.32000000000001</v>
      </c>
      <c r="I10" s="38">
        <v>0</v>
      </c>
      <c r="J10" s="38">
        <f>I10*F10</f>
        <v>0</v>
      </c>
      <c r="K10" s="38">
        <v>7.73</v>
      </c>
      <c r="L10" s="39">
        <f>K10*F10</f>
        <v>2713.23</v>
      </c>
      <c r="M10" s="38">
        <f>L10+J10+H10</f>
        <v>2825.55</v>
      </c>
      <c r="N10" s="51">
        <f>G10+I10+K10</f>
        <v>8.05</v>
      </c>
    </row>
    <row r="11" spans="1:14" ht="24">
      <c r="A11" s="77"/>
      <c r="B11" s="82" t="s">
        <v>13</v>
      </c>
      <c r="C11" s="88" t="s">
        <v>85</v>
      </c>
      <c r="D11" s="100" t="s">
        <v>86</v>
      </c>
      <c r="E11" s="88" t="s">
        <v>15</v>
      </c>
      <c r="F11" s="101">
        <f>(F17*1.6*1.6*1.7)+(F21*1.6*1.6*1.6)+(F10*1*1.7)</f>
        <v>639.9639999999999</v>
      </c>
      <c r="G11" s="102">
        <v>0.31</v>
      </c>
      <c r="H11" s="102">
        <f aca="true" t="shared" si="0" ref="H11:H20">G11*F11</f>
        <v>198.38884</v>
      </c>
      <c r="I11" s="102">
        <v>0</v>
      </c>
      <c r="J11" s="102">
        <f aca="true" t="shared" si="1" ref="J11:J20">I11*F11</f>
        <v>0</v>
      </c>
      <c r="K11" s="102">
        <v>7.55</v>
      </c>
      <c r="L11" s="103">
        <f aca="true" t="shared" si="2" ref="L11:L20">K11*F11</f>
        <v>4831.7282</v>
      </c>
      <c r="M11" s="102">
        <f aca="true" t="shared" si="3" ref="M11:M20">L11+J11+H11</f>
        <v>5030.117039999999</v>
      </c>
      <c r="N11" s="97">
        <f aca="true" t="shared" si="4" ref="N11:N20">G11+I11+K11</f>
        <v>7.859999999999999</v>
      </c>
    </row>
    <row r="12" spans="1:14" ht="12.75">
      <c r="A12" s="77"/>
      <c r="B12" s="76" t="s">
        <v>14</v>
      </c>
      <c r="C12" s="36" t="s">
        <v>77</v>
      </c>
      <c r="D12" s="35" t="s">
        <v>76</v>
      </c>
      <c r="E12" s="36" t="s">
        <v>15</v>
      </c>
      <c r="F12" s="37">
        <f>F11*0.65</f>
        <v>415.97659999999996</v>
      </c>
      <c r="G12" s="38">
        <v>1.07</v>
      </c>
      <c r="H12" s="38">
        <f t="shared" si="0"/>
        <v>445.094962</v>
      </c>
      <c r="I12" s="38">
        <v>0</v>
      </c>
      <c r="J12" s="38">
        <f t="shared" si="1"/>
        <v>0</v>
      </c>
      <c r="K12" s="38">
        <v>25.82</v>
      </c>
      <c r="L12" s="39">
        <f t="shared" si="2"/>
        <v>10740.515812</v>
      </c>
      <c r="M12" s="38">
        <f t="shared" si="3"/>
        <v>11185.610773999999</v>
      </c>
      <c r="N12" s="51">
        <f t="shared" si="4"/>
        <v>26.89</v>
      </c>
    </row>
    <row r="13" spans="1:14" ht="12.75">
      <c r="A13" s="77"/>
      <c r="B13" s="82" t="s">
        <v>103</v>
      </c>
      <c r="C13" s="36" t="s">
        <v>60</v>
      </c>
      <c r="D13" s="35" t="s">
        <v>59</v>
      </c>
      <c r="E13" s="36" t="s">
        <v>15</v>
      </c>
      <c r="F13" s="37">
        <f>F11-F12</f>
        <v>223.98739999999998</v>
      </c>
      <c r="G13" s="38">
        <v>0.36</v>
      </c>
      <c r="H13" s="38">
        <f t="shared" si="0"/>
        <v>80.63546399999998</v>
      </c>
      <c r="I13" s="38">
        <v>0</v>
      </c>
      <c r="J13" s="38">
        <f t="shared" si="1"/>
        <v>0</v>
      </c>
      <c r="K13" s="38">
        <v>8.79</v>
      </c>
      <c r="L13" s="39">
        <f t="shared" si="2"/>
        <v>1968.8492459999995</v>
      </c>
      <c r="M13" s="38">
        <f>L13+J13+H13</f>
        <v>2049.4847099999997</v>
      </c>
      <c r="N13" s="51">
        <f>G13+I13+K13</f>
        <v>9.149999999999999</v>
      </c>
    </row>
    <row r="14" spans="2:14" ht="12.75">
      <c r="B14" s="76" t="s">
        <v>104</v>
      </c>
      <c r="C14" s="36" t="s">
        <v>61</v>
      </c>
      <c r="D14" s="35" t="s">
        <v>34</v>
      </c>
      <c r="E14" s="36" t="s">
        <v>15</v>
      </c>
      <c r="F14" s="37">
        <f>F13</f>
        <v>223.98739999999998</v>
      </c>
      <c r="G14" s="38">
        <v>0.1</v>
      </c>
      <c r="H14" s="38">
        <f t="shared" si="0"/>
        <v>22.39874</v>
      </c>
      <c r="I14" s="38">
        <v>0</v>
      </c>
      <c r="J14" s="38">
        <f t="shared" si="1"/>
        <v>0</v>
      </c>
      <c r="K14" s="38">
        <v>2.54</v>
      </c>
      <c r="L14" s="39">
        <f t="shared" si="2"/>
        <v>568.927996</v>
      </c>
      <c r="M14" s="38">
        <f>L14+J14+H14</f>
        <v>591.326736</v>
      </c>
      <c r="N14" s="51">
        <f>G14+I14+K14</f>
        <v>2.64</v>
      </c>
    </row>
    <row r="15" spans="2:14" ht="12.75">
      <c r="B15" s="82" t="s">
        <v>105</v>
      </c>
      <c r="C15" s="36" t="s">
        <v>254</v>
      </c>
      <c r="D15" s="35" t="s">
        <v>255</v>
      </c>
      <c r="E15" s="36" t="s">
        <v>33</v>
      </c>
      <c r="F15" s="37">
        <f>F10</f>
        <v>351</v>
      </c>
      <c r="G15" s="38">
        <v>1.73</v>
      </c>
      <c r="H15" s="38">
        <f>G15*F15</f>
        <v>607.23</v>
      </c>
      <c r="I15" s="38">
        <v>15.64</v>
      </c>
      <c r="J15" s="38">
        <f>I15*F15</f>
        <v>5489.64</v>
      </c>
      <c r="K15" s="38">
        <v>26.18</v>
      </c>
      <c r="L15" s="39">
        <f>K15*F15</f>
        <v>9189.18</v>
      </c>
      <c r="M15" s="38">
        <f>L15+J15+H15</f>
        <v>15286.05</v>
      </c>
      <c r="N15" s="51">
        <f>G15+I15+K15</f>
        <v>43.55</v>
      </c>
    </row>
    <row r="16" spans="2:14" ht="12.75">
      <c r="B16" s="76" t="s">
        <v>106</v>
      </c>
      <c r="C16" s="36" t="s">
        <v>72</v>
      </c>
      <c r="D16" s="35" t="s">
        <v>256</v>
      </c>
      <c r="E16" s="36" t="s">
        <v>15</v>
      </c>
      <c r="F16" s="106">
        <f>F10*1*0.2</f>
        <v>70.2</v>
      </c>
      <c r="G16" s="38">
        <v>0.59</v>
      </c>
      <c r="H16" s="38">
        <f>G16*F16</f>
        <v>41.418</v>
      </c>
      <c r="I16" s="38">
        <v>0</v>
      </c>
      <c r="J16" s="38">
        <f>I16*F16</f>
        <v>0</v>
      </c>
      <c r="K16" s="38">
        <v>14.19</v>
      </c>
      <c r="L16" s="39">
        <f>K16*F16</f>
        <v>996.138</v>
      </c>
      <c r="M16" s="38">
        <f>L16+J16+H16</f>
        <v>1037.556</v>
      </c>
      <c r="N16" s="51">
        <f>G16+I16+K16</f>
        <v>14.78</v>
      </c>
    </row>
    <row r="17" spans="2:14" ht="12.75">
      <c r="B17" s="82" t="s">
        <v>107</v>
      </c>
      <c r="C17" s="36" t="s">
        <v>78</v>
      </c>
      <c r="D17" s="35" t="s">
        <v>79</v>
      </c>
      <c r="E17" s="36" t="s">
        <v>55</v>
      </c>
      <c r="F17" s="37">
        <v>9</v>
      </c>
      <c r="G17" s="38">
        <v>44.59</v>
      </c>
      <c r="H17" s="38">
        <f t="shared" si="0"/>
        <v>401.31000000000006</v>
      </c>
      <c r="I17" s="38">
        <v>401.52</v>
      </c>
      <c r="J17" s="38">
        <f t="shared" si="1"/>
        <v>3613.68</v>
      </c>
      <c r="K17" s="38">
        <v>672.08</v>
      </c>
      <c r="L17" s="39">
        <f t="shared" si="2"/>
        <v>6048.72</v>
      </c>
      <c r="M17" s="38">
        <f t="shared" si="3"/>
        <v>10063.71</v>
      </c>
      <c r="N17" s="51">
        <f t="shared" si="4"/>
        <v>1118.19</v>
      </c>
    </row>
    <row r="18" spans="1:14" ht="12.75">
      <c r="A18" s="77"/>
      <c r="B18" s="76" t="s">
        <v>108</v>
      </c>
      <c r="C18" s="36" t="s">
        <v>87</v>
      </c>
      <c r="D18" s="76" t="s">
        <v>80</v>
      </c>
      <c r="E18" s="36" t="s">
        <v>55</v>
      </c>
      <c r="F18" s="37">
        <f>F17</f>
        <v>9</v>
      </c>
      <c r="G18" s="38">
        <v>5.5</v>
      </c>
      <c r="H18" s="38">
        <f t="shared" si="0"/>
        <v>49.5</v>
      </c>
      <c r="I18" s="38">
        <v>49.53</v>
      </c>
      <c r="J18" s="38">
        <f t="shared" si="1"/>
        <v>445.77</v>
      </c>
      <c r="K18" s="38">
        <v>82.91</v>
      </c>
      <c r="L18" s="39">
        <f t="shared" si="2"/>
        <v>746.1899999999999</v>
      </c>
      <c r="M18" s="38">
        <f t="shared" si="3"/>
        <v>1241.46</v>
      </c>
      <c r="N18" s="51">
        <f t="shared" si="4"/>
        <v>137.94</v>
      </c>
    </row>
    <row r="19" spans="1:14" ht="12.75">
      <c r="A19" s="77"/>
      <c r="B19" s="82" t="s">
        <v>109</v>
      </c>
      <c r="C19" s="36">
        <v>7762</v>
      </c>
      <c r="D19" s="76" t="s">
        <v>260</v>
      </c>
      <c r="E19" s="36" t="s">
        <v>33</v>
      </c>
      <c r="F19" s="37">
        <f>F10</f>
        <v>351</v>
      </c>
      <c r="G19" s="38">
        <v>5.18</v>
      </c>
      <c r="H19" s="38">
        <f>G19*F19</f>
        <v>1818.1799999999998</v>
      </c>
      <c r="I19" s="38">
        <v>46.66</v>
      </c>
      <c r="J19" s="38">
        <f>I19*F19</f>
        <v>16377.659999999998</v>
      </c>
      <c r="K19" s="38">
        <v>78.1</v>
      </c>
      <c r="L19" s="39">
        <f>K19*F19</f>
        <v>27413.1</v>
      </c>
      <c r="M19" s="38">
        <f>L19+J19+H19</f>
        <v>45608.939999999995</v>
      </c>
      <c r="N19" s="51">
        <f>G19+I19+K19</f>
        <v>129.94</v>
      </c>
    </row>
    <row r="20" spans="1:14" ht="27" customHeight="1">
      <c r="A20" s="77"/>
      <c r="B20" s="82" t="s">
        <v>110</v>
      </c>
      <c r="C20" s="88">
        <v>73722</v>
      </c>
      <c r="D20" s="100" t="s">
        <v>259</v>
      </c>
      <c r="E20" s="88" t="s">
        <v>33</v>
      </c>
      <c r="F20" s="101">
        <f>F19</f>
        <v>351</v>
      </c>
      <c r="G20" s="102">
        <v>1.37</v>
      </c>
      <c r="H20" s="102">
        <f t="shared" si="0"/>
        <v>480.87000000000006</v>
      </c>
      <c r="I20" s="102">
        <v>12.34</v>
      </c>
      <c r="J20" s="102">
        <f t="shared" si="1"/>
        <v>4331.34</v>
      </c>
      <c r="K20" s="102">
        <v>20.66</v>
      </c>
      <c r="L20" s="103">
        <f t="shared" si="2"/>
        <v>7251.66</v>
      </c>
      <c r="M20" s="102">
        <f t="shared" si="3"/>
        <v>12063.87</v>
      </c>
      <c r="N20" s="97">
        <f t="shared" si="4"/>
        <v>34.370000000000005</v>
      </c>
    </row>
    <row r="21" spans="2:14" ht="13.5" thickBot="1">
      <c r="B21" s="82" t="s">
        <v>111</v>
      </c>
      <c r="C21" s="36" t="s">
        <v>257</v>
      </c>
      <c r="D21" s="35" t="s">
        <v>258</v>
      </c>
      <c r="E21" s="36" t="s">
        <v>55</v>
      </c>
      <c r="F21" s="37">
        <v>1</v>
      </c>
      <c r="G21" s="38">
        <v>101.98</v>
      </c>
      <c r="H21" s="38">
        <f>G21*F21</f>
        <v>101.98</v>
      </c>
      <c r="I21" s="38">
        <v>918.32</v>
      </c>
      <c r="J21" s="38">
        <f>I21*F21</f>
        <v>918.32</v>
      </c>
      <c r="K21" s="38">
        <v>1537.12</v>
      </c>
      <c r="L21" s="39">
        <f>K21*F21</f>
        <v>1537.12</v>
      </c>
      <c r="M21" s="38">
        <f>L21+J21+H21</f>
        <v>2557.42</v>
      </c>
      <c r="N21" s="51">
        <f>G21+I21+K21</f>
        <v>2557.42</v>
      </c>
    </row>
    <row r="22" spans="2:14" s="14" customFormat="1" ht="13.5" thickBot="1">
      <c r="B22" s="44"/>
      <c r="C22" s="86"/>
      <c r="D22" s="45" t="s">
        <v>6</v>
      </c>
      <c r="E22" s="46"/>
      <c r="F22" s="47"/>
      <c r="G22" s="48"/>
      <c r="H22" s="48">
        <f>SUM(H10:H21)</f>
        <v>4359.326005999999</v>
      </c>
      <c r="I22" s="48"/>
      <c r="J22" s="48">
        <f>SUM(J10:J21)</f>
        <v>31176.41</v>
      </c>
      <c r="K22" s="49"/>
      <c r="L22" s="48">
        <f>SUM(L10:L21)</f>
        <v>74005.359254</v>
      </c>
      <c r="M22" s="50">
        <f>H22+J22+L22</f>
        <v>109541.09526</v>
      </c>
      <c r="N22" s="27"/>
    </row>
    <row r="23" spans="2:14" ht="12.75">
      <c r="B23" s="25"/>
      <c r="C23" s="54"/>
      <c r="D23" s="25"/>
      <c r="E23" s="25"/>
      <c r="F23" s="26"/>
      <c r="G23" s="27"/>
      <c r="H23" s="28"/>
      <c r="I23" s="27"/>
      <c r="J23" s="28"/>
      <c r="K23" s="27"/>
      <c r="L23" s="28"/>
      <c r="M23" s="27"/>
      <c r="N23" s="27"/>
    </row>
    <row r="24" spans="2:14" s="14" customFormat="1" ht="12.75">
      <c r="B24" s="31" t="s">
        <v>16</v>
      </c>
      <c r="C24" s="31"/>
      <c r="D24" s="31" t="s">
        <v>224</v>
      </c>
      <c r="E24" s="31"/>
      <c r="F24" s="32"/>
      <c r="G24" s="33"/>
      <c r="H24" s="33"/>
      <c r="I24" s="33"/>
      <c r="J24" s="33"/>
      <c r="K24" s="33"/>
      <c r="L24" s="34"/>
      <c r="M24" s="33"/>
      <c r="N24" s="27"/>
    </row>
    <row r="25" spans="1:14" ht="12.75">
      <c r="A25" s="77"/>
      <c r="B25" s="76" t="s">
        <v>11</v>
      </c>
      <c r="C25" s="36">
        <v>73610</v>
      </c>
      <c r="D25" s="35" t="s">
        <v>261</v>
      </c>
      <c r="E25" s="36" t="s">
        <v>33</v>
      </c>
      <c r="F25" s="37">
        <v>103</v>
      </c>
      <c r="G25" s="38">
        <v>0.32</v>
      </c>
      <c r="H25" s="38">
        <f aca="true" t="shared" si="5" ref="H25:H36">G25*F25</f>
        <v>32.96</v>
      </c>
      <c r="I25" s="38">
        <v>0</v>
      </c>
      <c r="J25" s="38">
        <f aca="true" t="shared" si="6" ref="J25:J36">I25*F25</f>
        <v>0</v>
      </c>
      <c r="K25" s="38">
        <v>7.73</v>
      </c>
      <c r="L25" s="39">
        <f aca="true" t="shared" si="7" ref="L25:L36">K25*F25</f>
        <v>796.19</v>
      </c>
      <c r="M25" s="38">
        <f aca="true" t="shared" si="8" ref="M25:M36">L25+J25+H25</f>
        <v>829.1500000000001</v>
      </c>
      <c r="N25" s="51">
        <f aca="true" t="shared" si="9" ref="N25:N36">G25+I25+K25</f>
        <v>8.05</v>
      </c>
    </row>
    <row r="26" spans="1:14" ht="24">
      <c r="A26" s="77"/>
      <c r="B26" s="82" t="s">
        <v>13</v>
      </c>
      <c r="C26" s="88" t="s">
        <v>85</v>
      </c>
      <c r="D26" s="100" t="s">
        <v>86</v>
      </c>
      <c r="E26" s="88" t="s">
        <v>15</v>
      </c>
      <c r="F26" s="101">
        <f>(F32*1.6*1.6*1.7)+(F36*1.6*1.6*1.6)+(F25*1*1.7)</f>
        <v>179.196</v>
      </c>
      <c r="G26" s="102">
        <v>0.31</v>
      </c>
      <c r="H26" s="102">
        <f t="shared" si="5"/>
        <v>55.55076</v>
      </c>
      <c r="I26" s="102">
        <v>0</v>
      </c>
      <c r="J26" s="102">
        <f t="shared" si="6"/>
        <v>0</v>
      </c>
      <c r="K26" s="102">
        <v>7.55</v>
      </c>
      <c r="L26" s="103">
        <f t="shared" si="7"/>
        <v>1352.9298</v>
      </c>
      <c r="M26" s="102">
        <f t="shared" si="8"/>
        <v>1408.48056</v>
      </c>
      <c r="N26" s="97">
        <f t="shared" si="9"/>
        <v>7.859999999999999</v>
      </c>
    </row>
    <row r="27" spans="1:14" ht="12.75">
      <c r="A27" s="77"/>
      <c r="B27" s="76" t="s">
        <v>14</v>
      </c>
      <c r="C27" s="36" t="s">
        <v>77</v>
      </c>
      <c r="D27" s="35" t="s">
        <v>76</v>
      </c>
      <c r="E27" s="36" t="s">
        <v>15</v>
      </c>
      <c r="F27" s="37">
        <f>F26*0.65</f>
        <v>116.4774</v>
      </c>
      <c r="G27" s="38">
        <v>1.07</v>
      </c>
      <c r="H27" s="38">
        <f t="shared" si="5"/>
        <v>124.630818</v>
      </c>
      <c r="I27" s="38">
        <v>0</v>
      </c>
      <c r="J27" s="38">
        <f t="shared" si="6"/>
        <v>0</v>
      </c>
      <c r="K27" s="38">
        <v>25.82</v>
      </c>
      <c r="L27" s="39">
        <f t="shared" si="7"/>
        <v>3007.446468</v>
      </c>
      <c r="M27" s="38">
        <f t="shared" si="8"/>
        <v>3132.077286</v>
      </c>
      <c r="N27" s="51">
        <f t="shared" si="9"/>
        <v>26.89</v>
      </c>
    </row>
    <row r="28" spans="1:14" ht="12.75">
      <c r="A28" s="77"/>
      <c r="B28" s="82" t="s">
        <v>103</v>
      </c>
      <c r="C28" s="36" t="s">
        <v>60</v>
      </c>
      <c r="D28" s="35" t="s">
        <v>59</v>
      </c>
      <c r="E28" s="36" t="s">
        <v>15</v>
      </c>
      <c r="F28" s="37">
        <f>F26-F27</f>
        <v>62.718599999999995</v>
      </c>
      <c r="G28" s="38">
        <v>0.36</v>
      </c>
      <c r="H28" s="38">
        <f t="shared" si="5"/>
        <v>22.578695999999997</v>
      </c>
      <c r="I28" s="38">
        <v>0</v>
      </c>
      <c r="J28" s="38">
        <f t="shared" si="6"/>
        <v>0</v>
      </c>
      <c r="K28" s="38">
        <v>8.79</v>
      </c>
      <c r="L28" s="39">
        <f t="shared" si="7"/>
        <v>551.2964939999999</v>
      </c>
      <c r="M28" s="38">
        <f t="shared" si="8"/>
        <v>573.87519</v>
      </c>
      <c r="N28" s="51">
        <f t="shared" si="9"/>
        <v>9.149999999999999</v>
      </c>
    </row>
    <row r="29" spans="2:14" ht="12.75">
      <c r="B29" s="76" t="s">
        <v>104</v>
      </c>
      <c r="C29" s="36" t="s">
        <v>61</v>
      </c>
      <c r="D29" s="35" t="s">
        <v>34</v>
      </c>
      <c r="E29" s="36" t="s">
        <v>15</v>
      </c>
      <c r="F29" s="37">
        <f>F28</f>
        <v>62.718599999999995</v>
      </c>
      <c r="G29" s="38">
        <v>0.1</v>
      </c>
      <c r="H29" s="38">
        <f t="shared" si="5"/>
        <v>6.27186</v>
      </c>
      <c r="I29" s="38">
        <v>0</v>
      </c>
      <c r="J29" s="38">
        <f t="shared" si="6"/>
        <v>0</v>
      </c>
      <c r="K29" s="38">
        <v>2.54</v>
      </c>
      <c r="L29" s="39">
        <f t="shared" si="7"/>
        <v>159.305244</v>
      </c>
      <c r="M29" s="38">
        <f t="shared" si="8"/>
        <v>165.577104</v>
      </c>
      <c r="N29" s="51">
        <f t="shared" si="9"/>
        <v>2.64</v>
      </c>
    </row>
    <row r="30" spans="2:14" ht="12.75">
      <c r="B30" s="82" t="s">
        <v>105</v>
      </c>
      <c r="C30" s="36" t="s">
        <v>254</v>
      </c>
      <c r="D30" s="35" t="s">
        <v>255</v>
      </c>
      <c r="E30" s="36" t="s">
        <v>33</v>
      </c>
      <c r="F30" s="37">
        <f>F25</f>
        <v>103</v>
      </c>
      <c r="G30" s="38">
        <v>1.73</v>
      </c>
      <c r="H30" s="38">
        <f t="shared" si="5"/>
        <v>178.19</v>
      </c>
      <c r="I30" s="38">
        <v>15.64</v>
      </c>
      <c r="J30" s="38">
        <f t="shared" si="6"/>
        <v>1610.92</v>
      </c>
      <c r="K30" s="38">
        <v>26.18</v>
      </c>
      <c r="L30" s="39">
        <f t="shared" si="7"/>
        <v>2696.54</v>
      </c>
      <c r="M30" s="38">
        <f t="shared" si="8"/>
        <v>4485.65</v>
      </c>
      <c r="N30" s="51">
        <f t="shared" si="9"/>
        <v>43.55</v>
      </c>
    </row>
    <row r="31" spans="2:14" ht="12.75">
      <c r="B31" s="76" t="s">
        <v>106</v>
      </c>
      <c r="C31" s="36" t="s">
        <v>72</v>
      </c>
      <c r="D31" s="35" t="s">
        <v>256</v>
      </c>
      <c r="E31" s="36" t="s">
        <v>15</v>
      </c>
      <c r="F31" s="106">
        <f>F25*1*0.2</f>
        <v>20.6</v>
      </c>
      <c r="G31" s="38">
        <v>0.59</v>
      </c>
      <c r="H31" s="38">
        <f t="shared" si="5"/>
        <v>12.154</v>
      </c>
      <c r="I31" s="38">
        <v>0</v>
      </c>
      <c r="J31" s="38">
        <f t="shared" si="6"/>
        <v>0</v>
      </c>
      <c r="K31" s="38">
        <v>14.19</v>
      </c>
      <c r="L31" s="39">
        <f t="shared" si="7"/>
        <v>292.314</v>
      </c>
      <c r="M31" s="38">
        <f t="shared" si="8"/>
        <v>304.468</v>
      </c>
      <c r="N31" s="51">
        <f t="shared" si="9"/>
        <v>14.78</v>
      </c>
    </row>
    <row r="32" spans="2:14" ht="12.75">
      <c r="B32" s="82" t="s">
        <v>107</v>
      </c>
      <c r="C32" s="36" t="s">
        <v>78</v>
      </c>
      <c r="D32" s="35" t="s">
        <v>79</v>
      </c>
      <c r="E32" s="36" t="s">
        <v>55</v>
      </c>
      <c r="F32" s="37">
        <v>0</v>
      </c>
      <c r="G32" s="38">
        <v>44.59</v>
      </c>
      <c r="H32" s="38">
        <f t="shared" si="5"/>
        <v>0</v>
      </c>
      <c r="I32" s="38">
        <v>401.52</v>
      </c>
      <c r="J32" s="38">
        <f t="shared" si="6"/>
        <v>0</v>
      </c>
      <c r="K32" s="38">
        <v>672.08</v>
      </c>
      <c r="L32" s="39">
        <f t="shared" si="7"/>
        <v>0</v>
      </c>
      <c r="M32" s="38">
        <f t="shared" si="8"/>
        <v>0</v>
      </c>
      <c r="N32" s="51">
        <f t="shared" si="9"/>
        <v>1118.19</v>
      </c>
    </row>
    <row r="33" spans="1:14" ht="12.75">
      <c r="A33" s="77"/>
      <c r="B33" s="76" t="s">
        <v>108</v>
      </c>
      <c r="C33" s="36" t="s">
        <v>87</v>
      </c>
      <c r="D33" s="76" t="s">
        <v>80</v>
      </c>
      <c r="E33" s="36" t="s">
        <v>55</v>
      </c>
      <c r="F33" s="37">
        <f>F32</f>
        <v>0</v>
      </c>
      <c r="G33" s="38">
        <v>5.5</v>
      </c>
      <c r="H33" s="38">
        <f t="shared" si="5"/>
        <v>0</v>
      </c>
      <c r="I33" s="38">
        <v>49.53</v>
      </c>
      <c r="J33" s="38">
        <f t="shared" si="6"/>
        <v>0</v>
      </c>
      <c r="K33" s="38">
        <v>82.91</v>
      </c>
      <c r="L33" s="39">
        <f t="shared" si="7"/>
        <v>0</v>
      </c>
      <c r="M33" s="38">
        <f t="shared" si="8"/>
        <v>0</v>
      </c>
      <c r="N33" s="51">
        <f t="shared" si="9"/>
        <v>137.94</v>
      </c>
    </row>
    <row r="34" spans="1:14" ht="12.75">
      <c r="A34" s="77"/>
      <c r="B34" s="82" t="s">
        <v>109</v>
      </c>
      <c r="C34" s="36">
        <v>7762</v>
      </c>
      <c r="D34" s="76" t="s">
        <v>260</v>
      </c>
      <c r="E34" s="36" t="s">
        <v>33</v>
      </c>
      <c r="F34" s="37">
        <f>F25</f>
        <v>103</v>
      </c>
      <c r="G34" s="38">
        <v>5.18</v>
      </c>
      <c r="H34" s="38">
        <f t="shared" si="5"/>
        <v>533.54</v>
      </c>
      <c r="I34" s="38">
        <v>46.66</v>
      </c>
      <c r="J34" s="38">
        <f t="shared" si="6"/>
        <v>4805.98</v>
      </c>
      <c r="K34" s="38">
        <v>78.1</v>
      </c>
      <c r="L34" s="39">
        <f t="shared" si="7"/>
        <v>8044.299999999999</v>
      </c>
      <c r="M34" s="38">
        <f t="shared" si="8"/>
        <v>13383.82</v>
      </c>
      <c r="N34" s="51">
        <f t="shared" si="9"/>
        <v>129.94</v>
      </c>
    </row>
    <row r="35" spans="1:14" ht="27" customHeight="1">
      <c r="A35" s="77"/>
      <c r="B35" s="82" t="s">
        <v>110</v>
      </c>
      <c r="C35" s="88">
        <v>73722</v>
      </c>
      <c r="D35" s="100" t="s">
        <v>259</v>
      </c>
      <c r="E35" s="88" t="s">
        <v>33</v>
      </c>
      <c r="F35" s="101">
        <f>F34</f>
        <v>103</v>
      </c>
      <c r="G35" s="102">
        <v>1.37</v>
      </c>
      <c r="H35" s="102">
        <f t="shared" si="5"/>
        <v>141.11</v>
      </c>
      <c r="I35" s="102">
        <v>12.34</v>
      </c>
      <c r="J35" s="102">
        <f t="shared" si="6"/>
        <v>1271.02</v>
      </c>
      <c r="K35" s="102">
        <v>20.66</v>
      </c>
      <c r="L35" s="103">
        <f t="shared" si="7"/>
        <v>2127.98</v>
      </c>
      <c r="M35" s="102">
        <f t="shared" si="8"/>
        <v>3540.11</v>
      </c>
      <c r="N35" s="97">
        <f t="shared" si="9"/>
        <v>34.370000000000005</v>
      </c>
    </row>
    <row r="36" spans="2:14" ht="13.5" thickBot="1">
      <c r="B36" s="82" t="s">
        <v>111</v>
      </c>
      <c r="C36" s="36" t="s">
        <v>257</v>
      </c>
      <c r="D36" s="35" t="s">
        <v>258</v>
      </c>
      <c r="E36" s="36" t="s">
        <v>55</v>
      </c>
      <c r="F36" s="37">
        <v>1</v>
      </c>
      <c r="G36" s="38">
        <v>101.98</v>
      </c>
      <c r="H36" s="38">
        <f t="shared" si="5"/>
        <v>101.98</v>
      </c>
      <c r="I36" s="38">
        <v>918.32</v>
      </c>
      <c r="J36" s="38">
        <f t="shared" si="6"/>
        <v>918.32</v>
      </c>
      <c r="K36" s="38">
        <v>1537.12</v>
      </c>
      <c r="L36" s="39">
        <f t="shared" si="7"/>
        <v>1537.12</v>
      </c>
      <c r="M36" s="38">
        <f t="shared" si="8"/>
        <v>2557.42</v>
      </c>
      <c r="N36" s="51">
        <f t="shared" si="9"/>
        <v>2557.42</v>
      </c>
    </row>
    <row r="37" spans="2:14" s="14" customFormat="1" ht="13.5" thickBot="1">
      <c r="B37" s="44"/>
      <c r="C37" s="86"/>
      <c r="D37" s="45" t="s">
        <v>6</v>
      </c>
      <c r="E37" s="46"/>
      <c r="F37" s="47"/>
      <c r="G37" s="48"/>
      <c r="H37" s="48">
        <f>SUM(H25:H36)</f>
        <v>1208.966134</v>
      </c>
      <c r="I37" s="48"/>
      <c r="J37" s="48">
        <f>SUM(J25:J36)</f>
        <v>8606.24</v>
      </c>
      <c r="K37" s="49"/>
      <c r="L37" s="48">
        <f>SUM(L25:L36)</f>
        <v>20565.422006</v>
      </c>
      <c r="M37" s="50">
        <f>H37+J37+L37</f>
        <v>30380.62814</v>
      </c>
      <c r="N37" s="27"/>
    </row>
    <row r="38" spans="2:14" ht="12.75">
      <c r="B38" s="25"/>
      <c r="C38" s="54"/>
      <c r="D38" s="25"/>
      <c r="E38" s="25"/>
      <c r="F38" s="26"/>
      <c r="G38" s="27"/>
      <c r="H38" s="28"/>
      <c r="I38" s="27"/>
      <c r="J38" s="28"/>
      <c r="K38" s="27"/>
      <c r="L38" s="28"/>
      <c r="M38" s="27"/>
      <c r="N38" s="27"/>
    </row>
    <row r="39" spans="2:14" s="14" customFormat="1" ht="12.75">
      <c r="B39" s="31" t="s">
        <v>21</v>
      </c>
      <c r="C39" s="31"/>
      <c r="D39" s="31" t="s">
        <v>249</v>
      </c>
      <c r="E39" s="31"/>
      <c r="F39" s="32"/>
      <c r="G39" s="33"/>
      <c r="H39" s="33"/>
      <c r="I39" s="33"/>
      <c r="J39" s="33"/>
      <c r="K39" s="33"/>
      <c r="L39" s="34"/>
      <c r="M39" s="33"/>
      <c r="N39" s="27"/>
    </row>
    <row r="40" spans="1:14" ht="12.75">
      <c r="A40" s="77"/>
      <c r="B40" s="76" t="s">
        <v>22</v>
      </c>
      <c r="C40" s="36">
        <v>73610</v>
      </c>
      <c r="D40" s="35" t="s">
        <v>261</v>
      </c>
      <c r="E40" s="36" t="s">
        <v>33</v>
      </c>
      <c r="F40" s="37">
        <v>20</v>
      </c>
      <c r="G40" s="38">
        <v>0.32</v>
      </c>
      <c r="H40" s="38">
        <f aca="true" t="shared" si="10" ref="H40:H50">G40*F40</f>
        <v>6.4</v>
      </c>
      <c r="I40" s="38">
        <v>0</v>
      </c>
      <c r="J40" s="38">
        <f aca="true" t="shared" si="11" ref="J40:J50">I40*F40</f>
        <v>0</v>
      </c>
      <c r="K40" s="38">
        <v>7.73</v>
      </c>
      <c r="L40" s="39">
        <f aca="true" t="shared" si="12" ref="L40:L50">K40*F40</f>
        <v>154.60000000000002</v>
      </c>
      <c r="M40" s="38">
        <f aca="true" t="shared" si="13" ref="M40:M50">L40+J40+H40</f>
        <v>161.00000000000003</v>
      </c>
      <c r="N40" s="51">
        <f aca="true" t="shared" si="14" ref="N40:N50">G40+I40+K40</f>
        <v>8.05</v>
      </c>
    </row>
    <row r="41" spans="1:14" ht="24">
      <c r="A41" s="77"/>
      <c r="B41" s="82" t="s">
        <v>39</v>
      </c>
      <c r="C41" s="88" t="s">
        <v>85</v>
      </c>
      <c r="D41" s="100" t="s">
        <v>86</v>
      </c>
      <c r="E41" s="88" t="s">
        <v>15</v>
      </c>
      <c r="F41" s="101">
        <f>(F47*1.6*1.6*1.7)+(F40*1*1.7)</f>
        <v>47.056000000000004</v>
      </c>
      <c r="G41" s="102">
        <v>0.31</v>
      </c>
      <c r="H41" s="102">
        <f t="shared" si="10"/>
        <v>14.587360000000002</v>
      </c>
      <c r="I41" s="102">
        <v>0</v>
      </c>
      <c r="J41" s="102">
        <f t="shared" si="11"/>
        <v>0</v>
      </c>
      <c r="K41" s="102">
        <v>7.55</v>
      </c>
      <c r="L41" s="103">
        <f t="shared" si="12"/>
        <v>355.2728</v>
      </c>
      <c r="M41" s="102">
        <f t="shared" si="13"/>
        <v>369.86016</v>
      </c>
      <c r="N41" s="97">
        <f t="shared" si="14"/>
        <v>7.859999999999999</v>
      </c>
    </row>
    <row r="42" spans="1:14" ht="12.75">
      <c r="A42" s="77"/>
      <c r="B42" s="76" t="s">
        <v>40</v>
      </c>
      <c r="C42" s="36" t="s">
        <v>77</v>
      </c>
      <c r="D42" s="35" t="s">
        <v>76</v>
      </c>
      <c r="E42" s="36" t="s">
        <v>15</v>
      </c>
      <c r="F42" s="37">
        <f>F41*0.65</f>
        <v>30.586400000000005</v>
      </c>
      <c r="G42" s="38">
        <v>1.07</v>
      </c>
      <c r="H42" s="38">
        <f t="shared" si="10"/>
        <v>32.72744800000001</v>
      </c>
      <c r="I42" s="38">
        <v>0</v>
      </c>
      <c r="J42" s="38">
        <f t="shared" si="11"/>
        <v>0</v>
      </c>
      <c r="K42" s="38">
        <v>25.82</v>
      </c>
      <c r="L42" s="39">
        <f t="shared" si="12"/>
        <v>789.7408480000001</v>
      </c>
      <c r="M42" s="38">
        <f t="shared" si="13"/>
        <v>822.4682960000001</v>
      </c>
      <c r="N42" s="51">
        <f t="shared" si="14"/>
        <v>26.89</v>
      </c>
    </row>
    <row r="43" spans="1:14" ht="12.75">
      <c r="A43" s="77"/>
      <c r="B43" s="82" t="s">
        <v>41</v>
      </c>
      <c r="C43" s="36" t="s">
        <v>60</v>
      </c>
      <c r="D43" s="35" t="s">
        <v>59</v>
      </c>
      <c r="E43" s="36" t="s">
        <v>15</v>
      </c>
      <c r="F43" s="37">
        <f>F41-F42</f>
        <v>16.4696</v>
      </c>
      <c r="G43" s="38">
        <v>0.36</v>
      </c>
      <c r="H43" s="38">
        <f t="shared" si="10"/>
        <v>5.929056</v>
      </c>
      <c r="I43" s="38">
        <v>0</v>
      </c>
      <c r="J43" s="38">
        <f t="shared" si="11"/>
        <v>0</v>
      </c>
      <c r="K43" s="38">
        <v>8.79</v>
      </c>
      <c r="L43" s="39">
        <f t="shared" si="12"/>
        <v>144.76778399999998</v>
      </c>
      <c r="M43" s="38">
        <f t="shared" si="13"/>
        <v>150.69683999999998</v>
      </c>
      <c r="N43" s="51">
        <f t="shared" si="14"/>
        <v>9.149999999999999</v>
      </c>
    </row>
    <row r="44" spans="2:14" ht="12.75">
      <c r="B44" s="76" t="s">
        <v>42</v>
      </c>
      <c r="C44" s="36" t="s">
        <v>61</v>
      </c>
      <c r="D44" s="35" t="s">
        <v>34</v>
      </c>
      <c r="E44" s="36" t="s">
        <v>15</v>
      </c>
      <c r="F44" s="37">
        <f>F43</f>
        <v>16.4696</v>
      </c>
      <c r="G44" s="38">
        <v>0.1</v>
      </c>
      <c r="H44" s="38">
        <f t="shared" si="10"/>
        <v>1.64696</v>
      </c>
      <c r="I44" s="38">
        <v>0</v>
      </c>
      <c r="J44" s="38">
        <f t="shared" si="11"/>
        <v>0</v>
      </c>
      <c r="K44" s="38">
        <v>2.54</v>
      </c>
      <c r="L44" s="39">
        <f t="shared" si="12"/>
        <v>41.832784</v>
      </c>
      <c r="M44" s="38">
        <f t="shared" si="13"/>
        <v>43.479744</v>
      </c>
      <c r="N44" s="51">
        <f t="shared" si="14"/>
        <v>2.64</v>
      </c>
    </row>
    <row r="45" spans="2:14" ht="12.75">
      <c r="B45" s="82" t="s">
        <v>43</v>
      </c>
      <c r="C45" s="36" t="s">
        <v>254</v>
      </c>
      <c r="D45" s="35" t="s">
        <v>255</v>
      </c>
      <c r="E45" s="36" t="s">
        <v>33</v>
      </c>
      <c r="F45" s="37">
        <f>F40</f>
        <v>20</v>
      </c>
      <c r="G45" s="38">
        <v>1.73</v>
      </c>
      <c r="H45" s="38">
        <f t="shared" si="10"/>
        <v>34.6</v>
      </c>
      <c r="I45" s="38">
        <v>15.64</v>
      </c>
      <c r="J45" s="38">
        <f t="shared" si="11"/>
        <v>312.8</v>
      </c>
      <c r="K45" s="38">
        <v>26.18</v>
      </c>
      <c r="L45" s="39">
        <f t="shared" si="12"/>
        <v>523.6</v>
      </c>
      <c r="M45" s="38">
        <f t="shared" si="13"/>
        <v>871.0000000000001</v>
      </c>
      <c r="N45" s="51">
        <f t="shared" si="14"/>
        <v>43.55</v>
      </c>
    </row>
    <row r="46" spans="2:14" ht="12.75">
      <c r="B46" s="76" t="s">
        <v>179</v>
      </c>
      <c r="C46" s="36" t="s">
        <v>72</v>
      </c>
      <c r="D46" s="35" t="s">
        <v>256</v>
      </c>
      <c r="E46" s="36" t="s">
        <v>15</v>
      </c>
      <c r="F46" s="106">
        <f>F40*1*0.2</f>
        <v>4</v>
      </c>
      <c r="G46" s="38">
        <v>0.59</v>
      </c>
      <c r="H46" s="38">
        <f t="shared" si="10"/>
        <v>2.36</v>
      </c>
      <c r="I46" s="38">
        <v>0</v>
      </c>
      <c r="J46" s="38">
        <f t="shared" si="11"/>
        <v>0</v>
      </c>
      <c r="K46" s="38">
        <v>14.19</v>
      </c>
      <c r="L46" s="39">
        <f t="shared" si="12"/>
        <v>56.76</v>
      </c>
      <c r="M46" s="38">
        <f t="shared" si="13"/>
        <v>59.12</v>
      </c>
      <c r="N46" s="51">
        <f t="shared" si="14"/>
        <v>14.78</v>
      </c>
    </row>
    <row r="47" spans="2:14" ht="12.75">
      <c r="B47" s="82" t="s">
        <v>180</v>
      </c>
      <c r="C47" s="36" t="s">
        <v>78</v>
      </c>
      <c r="D47" s="35" t="s">
        <v>79</v>
      </c>
      <c r="E47" s="36" t="s">
        <v>55</v>
      </c>
      <c r="F47" s="37">
        <v>3</v>
      </c>
      <c r="G47" s="38">
        <v>44.59</v>
      </c>
      <c r="H47" s="38">
        <f t="shared" si="10"/>
        <v>133.77</v>
      </c>
      <c r="I47" s="38">
        <v>401.52</v>
      </c>
      <c r="J47" s="38">
        <f t="shared" si="11"/>
        <v>1204.56</v>
      </c>
      <c r="K47" s="38">
        <v>672.08</v>
      </c>
      <c r="L47" s="39">
        <f t="shared" si="12"/>
        <v>2016.2400000000002</v>
      </c>
      <c r="M47" s="38">
        <f t="shared" si="13"/>
        <v>3354.57</v>
      </c>
      <c r="N47" s="51">
        <f t="shared" si="14"/>
        <v>1118.19</v>
      </c>
    </row>
    <row r="48" spans="1:14" ht="12.75">
      <c r="A48" s="77"/>
      <c r="B48" s="76" t="s">
        <v>181</v>
      </c>
      <c r="C48" s="36" t="s">
        <v>87</v>
      </c>
      <c r="D48" s="76" t="s">
        <v>80</v>
      </c>
      <c r="E48" s="36" t="s">
        <v>55</v>
      </c>
      <c r="F48" s="37">
        <f>F47</f>
        <v>3</v>
      </c>
      <c r="G48" s="38">
        <v>5.5</v>
      </c>
      <c r="H48" s="38">
        <f t="shared" si="10"/>
        <v>16.5</v>
      </c>
      <c r="I48" s="38">
        <v>49.53</v>
      </c>
      <c r="J48" s="38">
        <f t="shared" si="11"/>
        <v>148.59</v>
      </c>
      <c r="K48" s="38">
        <v>82.91</v>
      </c>
      <c r="L48" s="39">
        <f t="shared" si="12"/>
        <v>248.73</v>
      </c>
      <c r="M48" s="38">
        <f t="shared" si="13"/>
        <v>413.82</v>
      </c>
      <c r="N48" s="51">
        <f t="shared" si="14"/>
        <v>137.94</v>
      </c>
    </row>
    <row r="49" spans="1:14" ht="12.75">
      <c r="A49" s="77"/>
      <c r="B49" s="82" t="s">
        <v>182</v>
      </c>
      <c r="C49" s="36">
        <v>7762</v>
      </c>
      <c r="D49" s="76" t="s">
        <v>260</v>
      </c>
      <c r="E49" s="36" t="s">
        <v>33</v>
      </c>
      <c r="F49" s="37">
        <f>F40</f>
        <v>20</v>
      </c>
      <c r="G49" s="38">
        <v>5.18</v>
      </c>
      <c r="H49" s="38">
        <f t="shared" si="10"/>
        <v>103.6</v>
      </c>
      <c r="I49" s="38">
        <v>46.66</v>
      </c>
      <c r="J49" s="38">
        <f t="shared" si="11"/>
        <v>933.1999999999999</v>
      </c>
      <c r="K49" s="38">
        <v>78.1</v>
      </c>
      <c r="L49" s="39">
        <f t="shared" si="12"/>
        <v>1562</v>
      </c>
      <c r="M49" s="38">
        <f t="shared" si="13"/>
        <v>2598.7999999999997</v>
      </c>
      <c r="N49" s="51">
        <f t="shared" si="14"/>
        <v>129.94</v>
      </c>
    </row>
    <row r="50" spans="1:14" ht="27" customHeight="1" thickBot="1">
      <c r="A50" s="77"/>
      <c r="B50" s="82" t="s">
        <v>183</v>
      </c>
      <c r="C50" s="88">
        <v>73722</v>
      </c>
      <c r="D50" s="100" t="s">
        <v>259</v>
      </c>
      <c r="E50" s="88" t="s">
        <v>33</v>
      </c>
      <c r="F50" s="101">
        <f>F49</f>
        <v>20</v>
      </c>
      <c r="G50" s="102">
        <v>1.37</v>
      </c>
      <c r="H50" s="102">
        <f t="shared" si="10"/>
        <v>27.400000000000002</v>
      </c>
      <c r="I50" s="102">
        <v>12.34</v>
      </c>
      <c r="J50" s="102">
        <f t="shared" si="11"/>
        <v>246.8</v>
      </c>
      <c r="K50" s="102">
        <v>20.66</v>
      </c>
      <c r="L50" s="103">
        <f t="shared" si="12"/>
        <v>413.2</v>
      </c>
      <c r="M50" s="102">
        <f t="shared" si="13"/>
        <v>687.4</v>
      </c>
      <c r="N50" s="97">
        <f t="shared" si="14"/>
        <v>34.370000000000005</v>
      </c>
    </row>
    <row r="51" spans="2:14" s="14" customFormat="1" ht="13.5" thickBot="1">
      <c r="B51" s="44"/>
      <c r="C51" s="86"/>
      <c r="D51" s="45" t="s">
        <v>6</v>
      </c>
      <c r="E51" s="46"/>
      <c r="F51" s="47"/>
      <c r="G51" s="48"/>
      <c r="H51" s="48">
        <f>SUM(H40:H50)</f>
        <v>379.52082399999995</v>
      </c>
      <c r="I51" s="48"/>
      <c r="J51" s="48">
        <f>SUM(J40:J50)</f>
        <v>2845.95</v>
      </c>
      <c r="K51" s="49"/>
      <c r="L51" s="48">
        <f>SUM(L40:L50)</f>
        <v>6306.744216</v>
      </c>
      <c r="M51" s="50">
        <f>H51+J51+L51</f>
        <v>9532.21504</v>
      </c>
      <c r="N51" s="27"/>
    </row>
    <row r="52" spans="2:14" ht="12.75">
      <c r="B52" s="25"/>
      <c r="C52" s="54"/>
      <c r="D52" s="25"/>
      <c r="E52" s="25"/>
      <c r="F52" s="26"/>
      <c r="G52" s="27"/>
      <c r="H52" s="28"/>
      <c r="I52" s="27"/>
      <c r="J52" s="28"/>
      <c r="K52" s="27"/>
      <c r="L52" s="28"/>
      <c r="M52" s="27"/>
      <c r="N52" s="27"/>
    </row>
    <row r="53" spans="2:14" s="14" customFormat="1" ht="12.75">
      <c r="B53" s="31" t="s">
        <v>44</v>
      </c>
      <c r="C53" s="31"/>
      <c r="D53" s="31" t="s">
        <v>279</v>
      </c>
      <c r="E53" s="31"/>
      <c r="F53" s="32"/>
      <c r="G53" s="33"/>
      <c r="H53" s="33"/>
      <c r="I53" s="33"/>
      <c r="J53" s="33"/>
      <c r="K53" s="33"/>
      <c r="L53" s="34"/>
      <c r="M53" s="33"/>
      <c r="N53" s="27"/>
    </row>
    <row r="54" spans="1:14" ht="12.75">
      <c r="A54" s="77"/>
      <c r="B54" s="76" t="s">
        <v>45</v>
      </c>
      <c r="C54" s="36">
        <v>73610</v>
      </c>
      <c r="D54" s="35" t="s">
        <v>261</v>
      </c>
      <c r="E54" s="36" t="s">
        <v>33</v>
      </c>
      <c r="F54" s="37">
        <v>346</v>
      </c>
      <c r="G54" s="38">
        <v>0.32</v>
      </c>
      <c r="H54" s="38">
        <f aca="true" t="shared" si="15" ref="H54:H65">G54*F54</f>
        <v>110.72</v>
      </c>
      <c r="I54" s="38">
        <v>0</v>
      </c>
      <c r="J54" s="38">
        <f aca="true" t="shared" si="16" ref="J54:J65">I54*F54</f>
        <v>0</v>
      </c>
      <c r="K54" s="38">
        <v>7.73</v>
      </c>
      <c r="L54" s="39">
        <f aca="true" t="shared" si="17" ref="L54:L65">K54*F54</f>
        <v>2674.58</v>
      </c>
      <c r="M54" s="38">
        <f aca="true" t="shared" si="18" ref="M54:M65">L54+J54+H54</f>
        <v>2785.2999999999997</v>
      </c>
      <c r="N54" s="51">
        <f aca="true" t="shared" si="19" ref="N54:N65">G54+I54+K54</f>
        <v>8.05</v>
      </c>
    </row>
    <row r="55" spans="1:14" ht="24">
      <c r="A55" s="77"/>
      <c r="B55" s="82" t="s">
        <v>46</v>
      </c>
      <c r="C55" s="88" t="s">
        <v>85</v>
      </c>
      <c r="D55" s="100" t="s">
        <v>86</v>
      </c>
      <c r="E55" s="88" t="s">
        <v>15</v>
      </c>
      <c r="F55" s="101">
        <f>(F61*1.6*1.6*1.7)+(F65*1.6*1.6*1.6)+(F54*1.2*1.9)</f>
        <v>818.576</v>
      </c>
      <c r="G55" s="102">
        <v>0.31</v>
      </c>
      <c r="H55" s="102">
        <f t="shared" si="15"/>
        <v>253.75856000000002</v>
      </c>
      <c r="I55" s="102">
        <v>0</v>
      </c>
      <c r="J55" s="102">
        <f t="shared" si="16"/>
        <v>0</v>
      </c>
      <c r="K55" s="102">
        <v>7.55</v>
      </c>
      <c r="L55" s="103">
        <f t="shared" si="17"/>
        <v>6180.2488</v>
      </c>
      <c r="M55" s="102">
        <f t="shared" si="18"/>
        <v>6434.0073600000005</v>
      </c>
      <c r="N55" s="97">
        <f t="shared" si="19"/>
        <v>7.859999999999999</v>
      </c>
    </row>
    <row r="56" spans="1:14" ht="12.75">
      <c r="A56" s="77"/>
      <c r="B56" s="76" t="s">
        <v>207</v>
      </c>
      <c r="C56" s="36" t="s">
        <v>77</v>
      </c>
      <c r="D56" s="35" t="s">
        <v>76</v>
      </c>
      <c r="E56" s="36" t="s">
        <v>15</v>
      </c>
      <c r="F56" s="37">
        <f>F55*0.65</f>
        <v>532.0744000000001</v>
      </c>
      <c r="G56" s="38">
        <v>1.07</v>
      </c>
      <c r="H56" s="38">
        <f t="shared" si="15"/>
        <v>569.3196080000001</v>
      </c>
      <c r="I56" s="38">
        <v>0</v>
      </c>
      <c r="J56" s="38">
        <f t="shared" si="16"/>
        <v>0</v>
      </c>
      <c r="K56" s="38">
        <v>25.82</v>
      </c>
      <c r="L56" s="39">
        <f t="shared" si="17"/>
        <v>13738.161008000003</v>
      </c>
      <c r="M56" s="38">
        <f t="shared" si="18"/>
        <v>14307.480616000003</v>
      </c>
      <c r="N56" s="51">
        <f t="shared" si="19"/>
        <v>26.89</v>
      </c>
    </row>
    <row r="57" spans="1:14" ht="12.75">
      <c r="A57" s="77"/>
      <c r="B57" s="82" t="s">
        <v>208</v>
      </c>
      <c r="C57" s="36" t="s">
        <v>60</v>
      </c>
      <c r="D57" s="35" t="s">
        <v>59</v>
      </c>
      <c r="E57" s="36" t="s">
        <v>15</v>
      </c>
      <c r="F57" s="37">
        <f>F55-F56</f>
        <v>286.50159999999994</v>
      </c>
      <c r="G57" s="38">
        <v>0.36</v>
      </c>
      <c r="H57" s="38">
        <f t="shared" si="15"/>
        <v>103.14057599999997</v>
      </c>
      <c r="I57" s="38">
        <v>0</v>
      </c>
      <c r="J57" s="38">
        <f t="shared" si="16"/>
        <v>0</v>
      </c>
      <c r="K57" s="38">
        <v>8.79</v>
      </c>
      <c r="L57" s="39">
        <f t="shared" si="17"/>
        <v>2518.349063999999</v>
      </c>
      <c r="M57" s="38">
        <f t="shared" si="18"/>
        <v>2621.489639999999</v>
      </c>
      <c r="N57" s="51">
        <f t="shared" si="19"/>
        <v>9.149999999999999</v>
      </c>
    </row>
    <row r="58" spans="2:14" ht="12.75">
      <c r="B58" s="76" t="s">
        <v>209</v>
      </c>
      <c r="C58" s="36" t="s">
        <v>61</v>
      </c>
      <c r="D58" s="35" t="s">
        <v>34</v>
      </c>
      <c r="E58" s="36" t="s">
        <v>15</v>
      </c>
      <c r="F58" s="37">
        <f>F57</f>
        <v>286.50159999999994</v>
      </c>
      <c r="G58" s="38">
        <v>0.1</v>
      </c>
      <c r="H58" s="38">
        <f t="shared" si="15"/>
        <v>28.650159999999996</v>
      </c>
      <c r="I58" s="38">
        <v>0</v>
      </c>
      <c r="J58" s="38">
        <f t="shared" si="16"/>
        <v>0</v>
      </c>
      <c r="K58" s="38">
        <v>2.54</v>
      </c>
      <c r="L58" s="39">
        <f t="shared" si="17"/>
        <v>727.7140639999999</v>
      </c>
      <c r="M58" s="38">
        <f t="shared" si="18"/>
        <v>756.3642239999999</v>
      </c>
      <c r="N58" s="51">
        <f t="shared" si="19"/>
        <v>2.64</v>
      </c>
    </row>
    <row r="59" spans="2:14" ht="12.75">
      <c r="B59" s="82" t="s">
        <v>210</v>
      </c>
      <c r="C59" s="36" t="s">
        <v>254</v>
      </c>
      <c r="D59" s="35" t="s">
        <v>255</v>
      </c>
      <c r="E59" s="36" t="s">
        <v>33</v>
      </c>
      <c r="F59" s="37">
        <f>F54</f>
        <v>346</v>
      </c>
      <c r="G59" s="38">
        <v>1.73</v>
      </c>
      <c r="H59" s="38">
        <f t="shared" si="15"/>
        <v>598.58</v>
      </c>
      <c r="I59" s="38">
        <v>15.64</v>
      </c>
      <c r="J59" s="38">
        <f t="shared" si="16"/>
        <v>5411.4400000000005</v>
      </c>
      <c r="K59" s="38">
        <v>26.18</v>
      </c>
      <c r="L59" s="39">
        <f t="shared" si="17"/>
        <v>9058.28</v>
      </c>
      <c r="M59" s="38">
        <f t="shared" si="18"/>
        <v>15068.300000000001</v>
      </c>
      <c r="N59" s="51">
        <f t="shared" si="19"/>
        <v>43.55</v>
      </c>
    </row>
    <row r="60" spans="2:14" ht="12.75">
      <c r="B60" s="76" t="s">
        <v>211</v>
      </c>
      <c r="C60" s="36" t="s">
        <v>72</v>
      </c>
      <c r="D60" s="35" t="s">
        <v>256</v>
      </c>
      <c r="E60" s="36" t="s">
        <v>15</v>
      </c>
      <c r="F60" s="106">
        <f>F54*1*0.2</f>
        <v>69.2</v>
      </c>
      <c r="G60" s="38">
        <v>0.59</v>
      </c>
      <c r="H60" s="38">
        <f t="shared" si="15"/>
        <v>40.828</v>
      </c>
      <c r="I60" s="38">
        <v>0</v>
      </c>
      <c r="J60" s="38">
        <f t="shared" si="16"/>
        <v>0</v>
      </c>
      <c r="K60" s="38">
        <v>14.19</v>
      </c>
      <c r="L60" s="39">
        <f t="shared" si="17"/>
        <v>981.948</v>
      </c>
      <c r="M60" s="38">
        <f t="shared" si="18"/>
        <v>1022.776</v>
      </c>
      <c r="N60" s="51">
        <f t="shared" si="19"/>
        <v>14.78</v>
      </c>
    </row>
    <row r="61" spans="2:14" ht="12.75">
      <c r="B61" s="82" t="s">
        <v>212</v>
      </c>
      <c r="C61" s="36" t="s">
        <v>78</v>
      </c>
      <c r="D61" s="35" t="s">
        <v>79</v>
      </c>
      <c r="E61" s="36" t="s">
        <v>55</v>
      </c>
      <c r="F61" s="37">
        <v>4</v>
      </c>
      <c r="G61" s="38">
        <v>44.59</v>
      </c>
      <c r="H61" s="38">
        <f t="shared" si="15"/>
        <v>178.36</v>
      </c>
      <c r="I61" s="38">
        <v>401.52</v>
      </c>
      <c r="J61" s="38">
        <f t="shared" si="16"/>
        <v>1606.08</v>
      </c>
      <c r="K61" s="38">
        <v>672.08</v>
      </c>
      <c r="L61" s="39">
        <f t="shared" si="17"/>
        <v>2688.32</v>
      </c>
      <c r="M61" s="38">
        <f t="shared" si="18"/>
        <v>4472.759999999999</v>
      </c>
      <c r="N61" s="51">
        <f t="shared" si="19"/>
        <v>1118.19</v>
      </c>
    </row>
    <row r="62" spans="1:14" ht="12.75">
      <c r="A62" s="77"/>
      <c r="B62" s="76" t="s">
        <v>213</v>
      </c>
      <c r="C62" s="36" t="s">
        <v>87</v>
      </c>
      <c r="D62" s="76" t="s">
        <v>80</v>
      </c>
      <c r="E62" s="36" t="s">
        <v>55</v>
      </c>
      <c r="F62" s="37">
        <f>F61</f>
        <v>4</v>
      </c>
      <c r="G62" s="38">
        <v>5.5</v>
      </c>
      <c r="H62" s="38">
        <f t="shared" si="15"/>
        <v>22</v>
      </c>
      <c r="I62" s="38">
        <v>49.53</v>
      </c>
      <c r="J62" s="38">
        <f t="shared" si="16"/>
        <v>198.12</v>
      </c>
      <c r="K62" s="38">
        <v>82.91</v>
      </c>
      <c r="L62" s="39">
        <f t="shared" si="17"/>
        <v>331.64</v>
      </c>
      <c r="M62" s="38">
        <f t="shared" si="18"/>
        <v>551.76</v>
      </c>
      <c r="N62" s="51">
        <f t="shared" si="19"/>
        <v>137.94</v>
      </c>
    </row>
    <row r="63" spans="1:14" ht="12.75">
      <c r="A63" s="77"/>
      <c r="B63" s="82" t="s">
        <v>214</v>
      </c>
      <c r="C63" s="36">
        <v>7763</v>
      </c>
      <c r="D63" s="76" t="s">
        <v>293</v>
      </c>
      <c r="E63" s="36" t="s">
        <v>33</v>
      </c>
      <c r="F63" s="37">
        <f>F54</f>
        <v>346</v>
      </c>
      <c r="G63" s="38">
        <v>7.79</v>
      </c>
      <c r="H63" s="38">
        <f t="shared" si="15"/>
        <v>2695.34</v>
      </c>
      <c r="I63" s="38">
        <v>70.2</v>
      </c>
      <c r="J63" s="38">
        <f t="shared" si="16"/>
        <v>24289.2</v>
      </c>
      <c r="K63" s="38">
        <v>113.47</v>
      </c>
      <c r="L63" s="39">
        <f t="shared" si="17"/>
        <v>39260.62</v>
      </c>
      <c r="M63" s="38">
        <f t="shared" si="18"/>
        <v>66245.16</v>
      </c>
      <c r="N63" s="51">
        <f t="shared" si="19"/>
        <v>191.46</v>
      </c>
    </row>
    <row r="64" spans="1:14" ht="27" customHeight="1">
      <c r="A64" s="77"/>
      <c r="B64" s="82" t="s">
        <v>215</v>
      </c>
      <c r="C64" s="88">
        <v>73720</v>
      </c>
      <c r="D64" s="100" t="s">
        <v>294</v>
      </c>
      <c r="E64" s="88" t="s">
        <v>33</v>
      </c>
      <c r="F64" s="101">
        <f>F63</f>
        <v>346</v>
      </c>
      <c r="G64" s="102">
        <v>2.8</v>
      </c>
      <c r="H64" s="102">
        <f t="shared" si="15"/>
        <v>968.8</v>
      </c>
      <c r="I64" s="102">
        <v>25.29</v>
      </c>
      <c r="J64" s="102">
        <f t="shared" si="16"/>
        <v>8750.34</v>
      </c>
      <c r="K64" s="102">
        <v>40.89</v>
      </c>
      <c r="L64" s="103">
        <f t="shared" si="17"/>
        <v>14147.94</v>
      </c>
      <c r="M64" s="102">
        <f t="shared" si="18"/>
        <v>23867.079999999998</v>
      </c>
      <c r="N64" s="97">
        <f t="shared" si="19"/>
        <v>68.98</v>
      </c>
    </row>
    <row r="65" spans="2:14" ht="13.5" thickBot="1">
      <c r="B65" s="82" t="s">
        <v>216</v>
      </c>
      <c r="C65" s="36" t="s">
        <v>257</v>
      </c>
      <c r="D65" s="35" t="s">
        <v>303</v>
      </c>
      <c r="E65" s="36" t="s">
        <v>55</v>
      </c>
      <c r="F65" s="37">
        <v>3</v>
      </c>
      <c r="G65" s="38">
        <v>113.66</v>
      </c>
      <c r="H65" s="38">
        <f t="shared" si="15"/>
        <v>340.98</v>
      </c>
      <c r="I65" s="38">
        <v>1024.22</v>
      </c>
      <c r="J65" s="38">
        <f t="shared" si="16"/>
        <v>3072.66</v>
      </c>
      <c r="K65" s="38">
        <v>1655.34</v>
      </c>
      <c r="L65" s="39">
        <f t="shared" si="17"/>
        <v>4966.0199999999995</v>
      </c>
      <c r="M65" s="38">
        <f t="shared" si="18"/>
        <v>8379.66</v>
      </c>
      <c r="N65" s="51">
        <f t="shared" si="19"/>
        <v>2793.2200000000003</v>
      </c>
    </row>
    <row r="66" spans="2:14" s="14" customFormat="1" ht="13.5" thickBot="1">
      <c r="B66" s="44"/>
      <c r="C66" s="86"/>
      <c r="D66" s="45" t="s">
        <v>6</v>
      </c>
      <c r="E66" s="46"/>
      <c r="F66" s="47"/>
      <c r="G66" s="48"/>
      <c r="H66" s="48">
        <f>SUM(H54:H65)</f>
        <v>5910.476904000001</v>
      </c>
      <c r="I66" s="48"/>
      <c r="J66" s="48">
        <f>SUM(J54:J65)</f>
        <v>43327.84</v>
      </c>
      <c r="K66" s="49"/>
      <c r="L66" s="48">
        <f>SUM(L54:L65)</f>
        <v>97273.820936</v>
      </c>
      <c r="M66" s="50">
        <f>H66+J66+L66</f>
        <v>146512.13784</v>
      </c>
      <c r="N66" s="27"/>
    </row>
    <row r="67" spans="2:14" ht="12.75">
      <c r="B67" s="25"/>
      <c r="C67" s="54"/>
      <c r="D67" s="25"/>
      <c r="E67" s="25"/>
      <c r="F67" s="26"/>
      <c r="G67" s="27"/>
      <c r="H67" s="28"/>
      <c r="I67" s="27"/>
      <c r="J67" s="28"/>
      <c r="K67" s="27"/>
      <c r="L67" s="28"/>
      <c r="M67" s="27"/>
      <c r="N67" s="27"/>
    </row>
    <row r="68" spans="2:14" s="14" customFormat="1" ht="12.75">
      <c r="B68" s="31" t="s">
        <v>47</v>
      </c>
      <c r="C68" s="31"/>
      <c r="D68" s="31" t="s">
        <v>301</v>
      </c>
      <c r="E68" s="31"/>
      <c r="F68" s="32"/>
      <c r="G68" s="33"/>
      <c r="H68" s="33"/>
      <c r="I68" s="33"/>
      <c r="J68" s="33"/>
      <c r="K68" s="33"/>
      <c r="L68" s="34"/>
      <c r="M68" s="33"/>
      <c r="N68" s="27"/>
    </row>
    <row r="69" spans="1:14" ht="12.75">
      <c r="A69" s="77"/>
      <c r="B69" s="76" t="s">
        <v>49</v>
      </c>
      <c r="C69" s="36">
        <v>73610</v>
      </c>
      <c r="D69" s="35" t="s">
        <v>261</v>
      </c>
      <c r="E69" s="36" t="s">
        <v>33</v>
      </c>
      <c r="F69" s="37">
        <v>37</v>
      </c>
      <c r="G69" s="38">
        <v>0.32</v>
      </c>
      <c r="H69" s="38">
        <f>G69*F69</f>
        <v>11.84</v>
      </c>
      <c r="I69" s="38">
        <v>0</v>
      </c>
      <c r="J69" s="38">
        <f>I69*F69</f>
        <v>0</v>
      </c>
      <c r="K69" s="38">
        <v>7.73</v>
      </c>
      <c r="L69" s="39">
        <f>K69*F69</f>
        <v>286.01</v>
      </c>
      <c r="M69" s="38">
        <f aca="true" t="shared" si="20" ref="M69:M80">L69+J69+H69</f>
        <v>297.84999999999997</v>
      </c>
      <c r="N69" s="51">
        <f aca="true" t="shared" si="21" ref="N69:N80">G69+I69+K69</f>
        <v>8.05</v>
      </c>
    </row>
    <row r="70" spans="1:14" ht="24">
      <c r="A70" s="77"/>
      <c r="B70" s="82" t="s">
        <v>50</v>
      </c>
      <c r="C70" s="88" t="s">
        <v>85</v>
      </c>
      <c r="D70" s="100" t="s">
        <v>86</v>
      </c>
      <c r="E70" s="88" t="s">
        <v>15</v>
      </c>
      <c r="F70" s="101">
        <f>(F76*1.6*1.6*1.7)+(F80*1.6*1.6*1.6)+(F69*1.2*1.9)</f>
        <v>97.16</v>
      </c>
      <c r="G70" s="102">
        <v>0.31</v>
      </c>
      <c r="H70" s="102">
        <f>G70*F70</f>
        <v>30.1196</v>
      </c>
      <c r="I70" s="102">
        <v>0</v>
      </c>
      <c r="J70" s="102">
        <f>I70*F70</f>
        <v>0</v>
      </c>
      <c r="K70" s="102">
        <v>7.55</v>
      </c>
      <c r="L70" s="103">
        <f>K70*F70</f>
        <v>733.558</v>
      </c>
      <c r="M70" s="102">
        <f t="shared" si="20"/>
        <v>763.6776</v>
      </c>
      <c r="N70" s="97">
        <f t="shared" si="21"/>
        <v>7.859999999999999</v>
      </c>
    </row>
    <row r="71" spans="1:14" ht="12.75">
      <c r="A71" s="77"/>
      <c r="B71" s="76" t="s">
        <v>51</v>
      </c>
      <c r="C71" s="36" t="s">
        <v>77</v>
      </c>
      <c r="D71" s="35" t="s">
        <v>76</v>
      </c>
      <c r="E71" s="36" t="s">
        <v>15</v>
      </c>
      <c r="F71" s="37">
        <f>F70*0.65</f>
        <v>63.154</v>
      </c>
      <c r="G71" s="38">
        <v>1.07</v>
      </c>
      <c r="H71" s="38">
        <f>G71*F71</f>
        <v>67.57478</v>
      </c>
      <c r="I71" s="38">
        <v>0</v>
      </c>
      <c r="J71" s="38">
        <f>I71*F71</f>
        <v>0</v>
      </c>
      <c r="K71" s="38">
        <v>25.82</v>
      </c>
      <c r="L71" s="39">
        <f>K71*F71</f>
        <v>1630.6362800000002</v>
      </c>
      <c r="M71" s="38">
        <f t="shared" si="20"/>
        <v>1698.21106</v>
      </c>
      <c r="N71" s="51">
        <f t="shared" si="21"/>
        <v>26.89</v>
      </c>
    </row>
    <row r="72" spans="1:14" ht="12.75">
      <c r="A72" s="77"/>
      <c r="B72" s="82" t="s">
        <v>90</v>
      </c>
      <c r="C72" s="36" t="s">
        <v>60</v>
      </c>
      <c r="D72" s="35" t="s">
        <v>59</v>
      </c>
      <c r="E72" s="36" t="s">
        <v>15</v>
      </c>
      <c r="F72" s="37">
        <f>F70-F71</f>
        <v>34.00599999999999</v>
      </c>
      <c r="G72" s="38">
        <v>0.36</v>
      </c>
      <c r="H72" s="38">
        <f>G72*F72</f>
        <v>12.242159999999997</v>
      </c>
      <c r="I72" s="38">
        <v>0</v>
      </c>
      <c r="J72" s="38">
        <f>I72*F72</f>
        <v>0</v>
      </c>
      <c r="K72" s="38">
        <v>8.79</v>
      </c>
      <c r="L72" s="39">
        <f>K72*F72</f>
        <v>298.9127399999999</v>
      </c>
      <c r="M72" s="38">
        <f t="shared" si="20"/>
        <v>311.15489999999994</v>
      </c>
      <c r="N72" s="51">
        <f t="shared" si="21"/>
        <v>9.149999999999999</v>
      </c>
    </row>
    <row r="73" spans="2:14" ht="12.75">
      <c r="B73" s="76" t="s">
        <v>91</v>
      </c>
      <c r="C73" s="36" t="s">
        <v>61</v>
      </c>
      <c r="D73" s="35" t="s">
        <v>34</v>
      </c>
      <c r="E73" s="36" t="s">
        <v>15</v>
      </c>
      <c r="F73" s="37">
        <f>F72</f>
        <v>34.00599999999999</v>
      </c>
      <c r="G73" s="38">
        <v>0.1</v>
      </c>
      <c r="H73" s="38">
        <f>G73*F73</f>
        <v>3.4005999999999994</v>
      </c>
      <c r="I73" s="38">
        <v>0</v>
      </c>
      <c r="J73" s="38">
        <f>I73*F73</f>
        <v>0</v>
      </c>
      <c r="K73" s="38">
        <v>2.54</v>
      </c>
      <c r="L73" s="39">
        <f>K73*F73</f>
        <v>86.37523999999998</v>
      </c>
      <c r="M73" s="38">
        <f t="shared" si="20"/>
        <v>89.77583999999997</v>
      </c>
      <c r="N73" s="51">
        <f t="shared" si="21"/>
        <v>2.64</v>
      </c>
    </row>
    <row r="74" spans="2:14" ht="12.75">
      <c r="B74" s="82" t="s">
        <v>92</v>
      </c>
      <c r="C74" s="36" t="s">
        <v>254</v>
      </c>
      <c r="D74" s="35" t="s">
        <v>255</v>
      </c>
      <c r="E74" s="36" t="s">
        <v>33</v>
      </c>
      <c r="F74" s="37">
        <f>F69</f>
        <v>37</v>
      </c>
      <c r="G74" s="38">
        <v>1.73</v>
      </c>
      <c r="H74" s="38">
        <f aca="true" t="shared" si="22" ref="H74:H80">G74*F74</f>
        <v>64.01</v>
      </c>
      <c r="I74" s="38">
        <v>15.64</v>
      </c>
      <c r="J74" s="38">
        <f aca="true" t="shared" si="23" ref="J74:J80">I74*F74</f>
        <v>578.6800000000001</v>
      </c>
      <c r="K74" s="38">
        <v>26.18</v>
      </c>
      <c r="L74" s="39">
        <f aca="true" t="shared" si="24" ref="L74:L80">K74*F74</f>
        <v>968.66</v>
      </c>
      <c r="M74" s="38">
        <f t="shared" si="20"/>
        <v>1611.3500000000001</v>
      </c>
      <c r="N74" s="51">
        <f t="shared" si="21"/>
        <v>43.55</v>
      </c>
    </row>
    <row r="75" spans="2:14" ht="12.75">
      <c r="B75" s="76" t="s">
        <v>218</v>
      </c>
      <c r="C75" s="36" t="s">
        <v>72</v>
      </c>
      <c r="D75" s="35" t="s">
        <v>256</v>
      </c>
      <c r="E75" s="36" t="s">
        <v>15</v>
      </c>
      <c r="F75" s="106">
        <f>F69*1*0.2</f>
        <v>7.4</v>
      </c>
      <c r="G75" s="38">
        <v>0.59</v>
      </c>
      <c r="H75" s="38">
        <f t="shared" si="22"/>
        <v>4.366</v>
      </c>
      <c r="I75" s="38">
        <v>0</v>
      </c>
      <c r="J75" s="38">
        <f t="shared" si="23"/>
        <v>0</v>
      </c>
      <c r="K75" s="38">
        <v>14.19</v>
      </c>
      <c r="L75" s="39">
        <f t="shared" si="24"/>
        <v>105.006</v>
      </c>
      <c r="M75" s="38">
        <f t="shared" si="20"/>
        <v>109.372</v>
      </c>
      <c r="N75" s="51">
        <f t="shared" si="21"/>
        <v>14.78</v>
      </c>
    </row>
    <row r="76" spans="2:14" ht="12.75">
      <c r="B76" s="82" t="s">
        <v>219</v>
      </c>
      <c r="C76" s="36" t="s">
        <v>78</v>
      </c>
      <c r="D76" s="35" t="s">
        <v>79</v>
      </c>
      <c r="E76" s="36" t="s">
        <v>55</v>
      </c>
      <c r="F76" s="37">
        <v>2</v>
      </c>
      <c r="G76" s="38">
        <v>44.59</v>
      </c>
      <c r="H76" s="38">
        <f t="shared" si="22"/>
        <v>89.18</v>
      </c>
      <c r="I76" s="38">
        <v>401.52</v>
      </c>
      <c r="J76" s="38">
        <f t="shared" si="23"/>
        <v>803.04</v>
      </c>
      <c r="K76" s="38">
        <v>672.08</v>
      </c>
      <c r="L76" s="39">
        <f t="shared" si="24"/>
        <v>1344.16</v>
      </c>
      <c r="M76" s="38">
        <f t="shared" si="20"/>
        <v>2236.3799999999997</v>
      </c>
      <c r="N76" s="51">
        <f t="shared" si="21"/>
        <v>1118.19</v>
      </c>
    </row>
    <row r="77" spans="1:14" ht="12.75">
      <c r="A77" s="77"/>
      <c r="B77" s="76" t="s">
        <v>220</v>
      </c>
      <c r="C77" s="36" t="s">
        <v>87</v>
      </c>
      <c r="D77" s="76" t="s">
        <v>80</v>
      </c>
      <c r="E77" s="36" t="s">
        <v>55</v>
      </c>
      <c r="F77" s="37">
        <f>F76</f>
        <v>2</v>
      </c>
      <c r="G77" s="38">
        <v>5.5</v>
      </c>
      <c r="H77" s="38">
        <f t="shared" si="22"/>
        <v>11</v>
      </c>
      <c r="I77" s="38">
        <v>49.53</v>
      </c>
      <c r="J77" s="38">
        <f t="shared" si="23"/>
        <v>99.06</v>
      </c>
      <c r="K77" s="38">
        <v>82.91</v>
      </c>
      <c r="L77" s="39">
        <f t="shared" si="24"/>
        <v>165.82</v>
      </c>
      <c r="M77" s="38">
        <f t="shared" si="20"/>
        <v>275.88</v>
      </c>
      <c r="N77" s="51">
        <f t="shared" si="21"/>
        <v>137.94</v>
      </c>
    </row>
    <row r="78" spans="1:14" ht="12.75">
      <c r="A78" s="77"/>
      <c r="B78" s="82" t="s">
        <v>221</v>
      </c>
      <c r="C78" s="36">
        <v>7763</v>
      </c>
      <c r="D78" s="76" t="s">
        <v>293</v>
      </c>
      <c r="E78" s="36" t="s">
        <v>33</v>
      </c>
      <c r="F78" s="37">
        <f>F69</f>
        <v>37</v>
      </c>
      <c r="G78" s="38">
        <v>7.79</v>
      </c>
      <c r="H78" s="38">
        <f t="shared" si="22"/>
        <v>288.23</v>
      </c>
      <c r="I78" s="38">
        <v>70.2</v>
      </c>
      <c r="J78" s="38">
        <f t="shared" si="23"/>
        <v>2597.4</v>
      </c>
      <c r="K78" s="38">
        <v>113.47</v>
      </c>
      <c r="L78" s="39">
        <f t="shared" si="24"/>
        <v>4198.39</v>
      </c>
      <c r="M78" s="38">
        <f t="shared" si="20"/>
        <v>7084.02</v>
      </c>
      <c r="N78" s="51">
        <f t="shared" si="21"/>
        <v>191.46</v>
      </c>
    </row>
    <row r="79" spans="1:14" ht="27" customHeight="1">
      <c r="A79" s="77"/>
      <c r="B79" s="82" t="s">
        <v>222</v>
      </c>
      <c r="C79" s="88">
        <v>73720</v>
      </c>
      <c r="D79" s="100" t="s">
        <v>294</v>
      </c>
      <c r="E79" s="88" t="s">
        <v>33</v>
      </c>
      <c r="F79" s="101">
        <f>F78</f>
        <v>37</v>
      </c>
      <c r="G79" s="102">
        <v>2.8</v>
      </c>
      <c r="H79" s="102">
        <f t="shared" si="22"/>
        <v>103.6</v>
      </c>
      <c r="I79" s="102">
        <v>25.29</v>
      </c>
      <c r="J79" s="102">
        <f t="shared" si="23"/>
        <v>935.73</v>
      </c>
      <c r="K79" s="102">
        <v>40.89</v>
      </c>
      <c r="L79" s="103">
        <f t="shared" si="24"/>
        <v>1512.93</v>
      </c>
      <c r="M79" s="102">
        <f t="shared" si="20"/>
        <v>2552.2599999999998</v>
      </c>
      <c r="N79" s="97">
        <f t="shared" si="21"/>
        <v>68.98</v>
      </c>
    </row>
    <row r="80" spans="2:14" ht="13.5" thickBot="1">
      <c r="B80" s="82" t="s">
        <v>223</v>
      </c>
      <c r="C80" s="36" t="s">
        <v>257</v>
      </c>
      <c r="D80" s="35" t="s">
        <v>303</v>
      </c>
      <c r="E80" s="36" t="s">
        <v>55</v>
      </c>
      <c r="F80" s="37">
        <v>1</v>
      </c>
      <c r="G80" s="38">
        <v>113.66</v>
      </c>
      <c r="H80" s="38">
        <f t="shared" si="22"/>
        <v>113.66</v>
      </c>
      <c r="I80" s="38">
        <v>1024.22</v>
      </c>
      <c r="J80" s="38">
        <f t="shared" si="23"/>
        <v>1024.22</v>
      </c>
      <c r="K80" s="38">
        <v>1655.34</v>
      </c>
      <c r="L80" s="39">
        <f t="shared" si="24"/>
        <v>1655.34</v>
      </c>
      <c r="M80" s="38">
        <f t="shared" si="20"/>
        <v>2793.22</v>
      </c>
      <c r="N80" s="51">
        <f t="shared" si="21"/>
        <v>2793.2200000000003</v>
      </c>
    </row>
    <row r="81" spans="2:14" s="14" customFormat="1" ht="13.5" thickBot="1">
      <c r="B81" s="44"/>
      <c r="C81" s="86"/>
      <c r="D81" s="45" t="s">
        <v>6</v>
      </c>
      <c r="E81" s="46"/>
      <c r="F81" s="47"/>
      <c r="G81" s="48"/>
      <c r="H81" s="48">
        <f>SUM(H69:H80)</f>
        <v>799.2231400000001</v>
      </c>
      <c r="I81" s="48"/>
      <c r="J81" s="48">
        <f>SUM(J69:J80)</f>
        <v>6038.13</v>
      </c>
      <c r="K81" s="49"/>
      <c r="L81" s="48">
        <f>SUM(L69:L80)</f>
        <v>12985.79826</v>
      </c>
      <c r="M81" s="50">
        <f>H81+J81+L81</f>
        <v>19823.1514</v>
      </c>
      <c r="N81" s="27"/>
    </row>
    <row r="82" spans="2:14" ht="12.75">
      <c r="B82" s="25"/>
      <c r="C82" s="54"/>
      <c r="D82" s="25"/>
      <c r="E82" s="25"/>
      <c r="F82" s="26"/>
      <c r="G82" s="27"/>
      <c r="H82" s="28"/>
      <c r="I82" s="27"/>
      <c r="J82" s="28"/>
      <c r="K82" s="27"/>
      <c r="L82" s="28"/>
      <c r="M82" s="27"/>
      <c r="N82" s="27"/>
    </row>
    <row r="83" spans="2:14" ht="6.75" customHeight="1" thickBot="1">
      <c r="B83" s="25"/>
      <c r="C83" s="54"/>
      <c r="D83" s="25"/>
      <c r="E83" s="25"/>
      <c r="F83" s="58"/>
      <c r="G83" s="27"/>
      <c r="H83" s="28"/>
      <c r="I83" s="27"/>
      <c r="J83" s="51"/>
      <c r="K83" s="51"/>
      <c r="L83" s="51"/>
      <c r="M83" s="27"/>
      <c r="N83" s="28"/>
    </row>
    <row r="84" spans="2:14" s="14" customFormat="1" ht="13.5" thickBot="1">
      <c r="B84" s="53"/>
      <c r="C84" s="90"/>
      <c r="D84" s="45" t="s">
        <v>23</v>
      </c>
      <c r="E84" s="45"/>
      <c r="F84" s="49"/>
      <c r="G84" s="48"/>
      <c r="H84" s="48">
        <f>H51+H37+H22+H66+H81</f>
        <v>12657.513008</v>
      </c>
      <c r="I84" s="48"/>
      <c r="J84" s="48">
        <f>J51+J37+J22+J66+J81</f>
        <v>91994.57</v>
      </c>
      <c r="K84" s="48"/>
      <c r="L84" s="48">
        <f>L51+L37+L22+L66+L81</f>
        <v>211137.14467200002</v>
      </c>
      <c r="M84" s="50">
        <f>L84+J84+H84</f>
        <v>315789.22768</v>
      </c>
      <c r="N84" s="27"/>
    </row>
    <row r="85" spans="2:14" ht="12.75">
      <c r="B85" s="25"/>
      <c r="C85" s="54"/>
      <c r="D85" s="96" t="s">
        <v>84</v>
      </c>
      <c r="E85" s="25"/>
      <c r="F85" s="58"/>
      <c r="G85" s="27"/>
      <c r="H85" s="28"/>
      <c r="I85" s="27"/>
      <c r="J85" s="28"/>
      <c r="K85" s="27"/>
      <c r="L85" s="28"/>
      <c r="M85" s="27"/>
      <c r="N85" s="28"/>
    </row>
    <row r="86" spans="2:14" ht="12.75">
      <c r="B86" s="25"/>
      <c r="C86" s="54"/>
      <c r="D86" s="96"/>
      <c r="E86" s="25"/>
      <c r="F86" s="58"/>
      <c r="G86" s="27"/>
      <c r="H86" s="28"/>
      <c r="I86" s="27"/>
      <c r="J86" s="28"/>
      <c r="K86" s="27"/>
      <c r="L86" s="28"/>
      <c r="M86" s="27"/>
      <c r="N86" s="28"/>
    </row>
    <row r="87" spans="2:14" ht="12.75">
      <c r="B87" s="25"/>
      <c r="C87" s="54"/>
      <c r="D87" s="54" t="s">
        <v>292</v>
      </c>
      <c r="E87" s="25"/>
      <c r="F87" s="58"/>
      <c r="G87" s="27"/>
      <c r="H87" s="28"/>
      <c r="I87" s="27"/>
      <c r="J87" s="28"/>
      <c r="K87" s="27"/>
      <c r="L87" s="28"/>
      <c r="M87" s="27"/>
      <c r="N87" s="28"/>
    </row>
    <row r="88" spans="2:14" ht="12.75">
      <c r="B88" s="25"/>
      <c r="C88" s="54"/>
      <c r="D88" s="25"/>
      <c r="E88" s="25"/>
      <c r="F88" s="58"/>
      <c r="G88" s="27"/>
      <c r="H88" s="28"/>
      <c r="I88" s="27"/>
      <c r="J88" s="28"/>
      <c r="K88" s="27"/>
      <c r="L88" s="28"/>
      <c r="M88" s="27"/>
      <c r="N88" s="28"/>
    </row>
    <row r="89" spans="2:14" ht="12.75">
      <c r="B89" s="25"/>
      <c r="C89" s="25"/>
      <c r="D89" s="25"/>
      <c r="E89" s="25"/>
      <c r="F89" s="58"/>
      <c r="G89" s="27"/>
      <c r="H89" s="28"/>
      <c r="I89" s="27"/>
      <c r="J89" s="28"/>
      <c r="K89" s="27"/>
      <c r="L89" s="28"/>
      <c r="M89" s="27"/>
      <c r="N89" s="28"/>
    </row>
    <row r="90" spans="2:14" ht="12.75">
      <c r="B90" s="25"/>
      <c r="C90" s="25"/>
      <c r="D90" s="25"/>
      <c r="E90" s="25"/>
      <c r="F90" s="58"/>
      <c r="G90" s="27"/>
      <c r="H90" s="28"/>
      <c r="I90" s="27"/>
      <c r="J90" s="28"/>
      <c r="K90" s="27"/>
      <c r="L90" s="28"/>
      <c r="M90" s="27"/>
      <c r="N90" s="28"/>
    </row>
    <row r="91" spans="2:14" ht="12.75">
      <c r="B91" s="25"/>
      <c r="C91" s="25"/>
      <c r="D91" s="25"/>
      <c r="E91" s="25"/>
      <c r="F91" s="58"/>
      <c r="G91" s="27"/>
      <c r="H91" s="28"/>
      <c r="I91" s="27"/>
      <c r="J91" s="28"/>
      <c r="K91" s="27"/>
      <c r="L91" s="28"/>
      <c r="M91" s="27"/>
      <c r="N91" s="28"/>
    </row>
    <row r="92" spans="2:14" ht="12.75">
      <c r="B92" s="25"/>
      <c r="C92" s="25"/>
      <c r="D92" s="25"/>
      <c r="E92" s="25"/>
      <c r="F92" s="58"/>
      <c r="G92" s="27"/>
      <c r="H92" s="28"/>
      <c r="I92" s="27"/>
      <c r="J92" s="28"/>
      <c r="K92" s="27"/>
      <c r="L92" s="28"/>
      <c r="M92" s="27"/>
      <c r="N92" s="28"/>
    </row>
    <row r="93" spans="2:14" ht="12.75">
      <c r="B93" s="25"/>
      <c r="C93" s="25"/>
      <c r="D93" s="25"/>
      <c r="E93" s="25"/>
      <c r="F93" s="58"/>
      <c r="G93" s="27"/>
      <c r="H93" s="28"/>
      <c r="I93" s="27"/>
      <c r="J93" s="28"/>
      <c r="K93" s="27"/>
      <c r="L93" s="28"/>
      <c r="M93" s="27"/>
      <c r="N93" s="28"/>
    </row>
    <row r="94" spans="2:14" ht="12.75">
      <c r="B94" s="25"/>
      <c r="C94" s="25"/>
      <c r="D94" s="25"/>
      <c r="E94" s="25"/>
      <c r="F94" s="58"/>
      <c r="G94" s="27"/>
      <c r="H94" s="28"/>
      <c r="I94" s="27"/>
      <c r="J94" s="28"/>
      <c r="K94" s="27"/>
      <c r="L94" s="28"/>
      <c r="M94" s="27"/>
      <c r="N94" s="28"/>
    </row>
  </sheetData>
  <sheetProtection/>
  <mergeCells count="6">
    <mergeCell ref="M7:M8"/>
    <mergeCell ref="B7:B8"/>
    <mergeCell ref="C7:C8"/>
    <mergeCell ref="D7:D8"/>
    <mergeCell ref="E7:E8"/>
    <mergeCell ref="F7:F8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workbookViewId="0" topLeftCell="A1">
      <pane ySplit="10" topLeftCell="A29" activePane="bottomLeft" state="frozen"/>
      <selection pane="topLeft" activeCell="A1" sqref="A1"/>
      <selection pane="bottomLeft" activeCell="K111" sqref="K111"/>
    </sheetView>
  </sheetViews>
  <sheetFormatPr defaultColWidth="9.140625" defaultRowHeight="12.75"/>
  <cols>
    <col min="1" max="1" width="1.8515625" style="1" customWidth="1"/>
    <col min="2" max="2" width="4.7109375" style="1" customWidth="1"/>
    <col min="3" max="3" width="9.8515625" style="1" hidden="1" customWidth="1"/>
    <col min="4" max="4" width="69.421875" style="1" customWidth="1"/>
    <col min="5" max="5" width="6.28125" style="1" customWidth="1"/>
    <col min="6" max="6" width="10.421875" style="2" customWidth="1"/>
    <col min="7" max="7" width="8.8515625" style="3" customWidth="1"/>
    <col min="8" max="8" width="10.57421875" style="4" bestFit="1" customWidth="1"/>
    <col min="9" max="9" width="8.8515625" style="3" customWidth="1"/>
    <col min="10" max="10" width="13.00390625" style="4" customWidth="1"/>
    <col min="11" max="11" width="9.8515625" style="3" bestFit="1" customWidth="1"/>
    <col min="12" max="12" width="11.57421875" style="4" customWidth="1"/>
    <col min="13" max="13" width="11.8515625" style="3" customWidth="1"/>
    <col min="14" max="14" width="9.140625" style="4" customWidth="1"/>
    <col min="15" max="16384" width="9.140625" style="1" customWidth="1"/>
  </cols>
  <sheetData>
    <row r="1" spans="1:7" ht="13.5" thickBot="1">
      <c r="A1" s="60"/>
      <c r="B1" s="108" t="s">
        <v>302</v>
      </c>
      <c r="C1" s="5"/>
      <c r="D1" s="5"/>
      <c r="E1" s="5"/>
      <c r="F1" s="5"/>
      <c r="G1" s="5"/>
    </row>
    <row r="2" spans="2:13" ht="25.5">
      <c r="B2" s="6"/>
      <c r="C2" s="85"/>
      <c r="D2" s="7" t="s">
        <v>0</v>
      </c>
      <c r="E2" s="8"/>
      <c r="F2" s="8"/>
      <c r="G2" s="8"/>
      <c r="H2" s="9"/>
      <c r="I2" s="10"/>
      <c r="J2" s="9" t="s">
        <v>83</v>
      </c>
      <c r="K2" s="95">
        <v>40544</v>
      </c>
      <c r="L2" s="9"/>
      <c r="M2" s="11"/>
    </row>
    <row r="3" spans="2:13" ht="15.75">
      <c r="B3" s="12"/>
      <c r="D3" s="13"/>
      <c r="E3" s="14"/>
      <c r="F3" s="14"/>
      <c r="G3" s="14"/>
      <c r="M3" s="15"/>
    </row>
    <row r="4" spans="2:13" ht="15.75">
      <c r="B4" s="12"/>
      <c r="D4" s="13" t="s">
        <v>317</v>
      </c>
      <c r="M4" s="15"/>
    </row>
    <row r="5" spans="2:13" ht="15.75">
      <c r="B5" s="12"/>
      <c r="D5" s="13" t="s">
        <v>96</v>
      </c>
      <c r="E5" s="16"/>
      <c r="F5" s="16"/>
      <c r="G5" s="16"/>
      <c r="H5" s="16"/>
      <c r="I5" s="16"/>
      <c r="J5" s="99"/>
      <c r="K5" s="16"/>
      <c r="L5" s="16"/>
      <c r="M5" s="17"/>
    </row>
    <row r="6" spans="2:13" ht="16.5" thickBot="1">
      <c r="B6" s="18"/>
      <c r="C6" s="20"/>
      <c r="D6" s="19" t="s">
        <v>97</v>
      </c>
      <c r="E6" s="20"/>
      <c r="F6" s="21"/>
      <c r="G6" s="22"/>
      <c r="H6" s="23"/>
      <c r="I6" s="23"/>
      <c r="J6" s="23"/>
      <c r="K6" s="98"/>
      <c r="L6" s="23"/>
      <c r="M6" s="24"/>
    </row>
    <row r="8" spans="2:14" ht="12.75">
      <c r="B8" s="25"/>
      <c r="C8" s="25"/>
      <c r="D8" s="25"/>
      <c r="E8" s="25"/>
      <c r="F8" s="26"/>
      <c r="G8" s="27"/>
      <c r="H8" s="28"/>
      <c r="I8" s="27"/>
      <c r="J8" s="28"/>
      <c r="K8" s="27"/>
      <c r="L8" s="28"/>
      <c r="M8" s="27"/>
      <c r="N8" s="28"/>
    </row>
    <row r="9" spans="2:14" s="14" customFormat="1" ht="12.75">
      <c r="B9" s="114" t="s">
        <v>1</v>
      </c>
      <c r="C9" s="114" t="s">
        <v>98</v>
      </c>
      <c r="D9" s="114" t="s">
        <v>2</v>
      </c>
      <c r="E9" s="114" t="s">
        <v>3</v>
      </c>
      <c r="F9" s="115" t="s">
        <v>4</v>
      </c>
      <c r="G9" s="29" t="s">
        <v>5</v>
      </c>
      <c r="H9" s="29" t="s">
        <v>6</v>
      </c>
      <c r="I9" s="29" t="s">
        <v>5</v>
      </c>
      <c r="J9" s="29" t="s">
        <v>6</v>
      </c>
      <c r="K9" s="29" t="s">
        <v>5</v>
      </c>
      <c r="L9" s="29" t="s">
        <v>6</v>
      </c>
      <c r="M9" s="113" t="s">
        <v>6</v>
      </c>
      <c r="N9" s="27"/>
    </row>
    <row r="10" spans="2:14" s="14" customFormat="1" ht="12.75">
      <c r="B10" s="114"/>
      <c r="C10" s="114"/>
      <c r="D10" s="114"/>
      <c r="E10" s="114"/>
      <c r="F10" s="116"/>
      <c r="G10" s="30" t="s">
        <v>7</v>
      </c>
      <c r="H10" s="30" t="s">
        <v>7</v>
      </c>
      <c r="I10" s="30" t="s">
        <v>8</v>
      </c>
      <c r="J10" s="30" t="s">
        <v>8</v>
      </c>
      <c r="K10" s="30" t="s">
        <v>9</v>
      </c>
      <c r="L10" s="30" t="s">
        <v>9</v>
      </c>
      <c r="M10" s="113"/>
      <c r="N10" s="51" t="s">
        <v>88</v>
      </c>
    </row>
    <row r="11" spans="2:14" s="14" customFormat="1" ht="12.75">
      <c r="B11" s="31" t="s">
        <v>10</v>
      </c>
      <c r="C11" s="31"/>
      <c r="D11" s="31" t="s">
        <v>102</v>
      </c>
      <c r="E11" s="31"/>
      <c r="F11" s="32"/>
      <c r="G11" s="33"/>
      <c r="H11" s="33"/>
      <c r="I11" s="33"/>
      <c r="J11" s="33"/>
      <c r="K11" s="33"/>
      <c r="L11" s="34"/>
      <c r="M11" s="33"/>
      <c r="N11" s="27"/>
    </row>
    <row r="12" spans="1:14" ht="12.75">
      <c r="A12" s="77"/>
      <c r="B12" s="76" t="s">
        <v>11</v>
      </c>
      <c r="C12" s="36">
        <v>73610</v>
      </c>
      <c r="D12" s="35" t="s">
        <v>261</v>
      </c>
      <c r="E12" s="36" t="s">
        <v>33</v>
      </c>
      <c r="F12" s="37">
        <v>1021.1</v>
      </c>
      <c r="G12" s="38">
        <v>0.31</v>
      </c>
      <c r="H12" s="38">
        <f aca="true" t="shared" si="0" ref="H12:H19">G12*F12</f>
        <v>316.541</v>
      </c>
      <c r="I12" s="38">
        <v>0</v>
      </c>
      <c r="J12" s="38">
        <f aca="true" t="shared" si="1" ref="J12:J19">I12*F12</f>
        <v>0</v>
      </c>
      <c r="K12" s="38">
        <v>7.5</v>
      </c>
      <c r="L12" s="39">
        <f aca="true" t="shared" si="2" ref="L12:L19">K12*F12</f>
        <v>7658.25</v>
      </c>
      <c r="M12" s="38">
        <f aca="true" t="shared" si="3" ref="M12:M19">L12+J12+H12</f>
        <v>7974.791</v>
      </c>
      <c r="N12" s="51">
        <f aca="true" t="shared" si="4" ref="N12:N19">G12+I12+K12</f>
        <v>7.81</v>
      </c>
    </row>
    <row r="13" spans="1:14" ht="24">
      <c r="A13" s="77"/>
      <c r="B13" s="82" t="s">
        <v>13</v>
      </c>
      <c r="C13" s="88" t="s">
        <v>85</v>
      </c>
      <c r="D13" s="100" t="s">
        <v>86</v>
      </c>
      <c r="E13" s="88" t="s">
        <v>15</v>
      </c>
      <c r="F13" s="101">
        <f>(F19*1.6*1.6*1.6)+(F12*0.4*1.5)</f>
        <v>698.6760000000002</v>
      </c>
      <c r="G13" s="102">
        <v>0.3</v>
      </c>
      <c r="H13" s="102">
        <f t="shared" si="0"/>
        <v>209.60280000000003</v>
      </c>
      <c r="I13" s="102">
        <v>0</v>
      </c>
      <c r="J13" s="102">
        <f t="shared" si="1"/>
        <v>0</v>
      </c>
      <c r="K13" s="102">
        <v>7.33</v>
      </c>
      <c r="L13" s="103">
        <f t="shared" si="2"/>
        <v>5121.295080000001</v>
      </c>
      <c r="M13" s="102">
        <f t="shared" si="3"/>
        <v>5330.89788</v>
      </c>
      <c r="N13" s="97">
        <f t="shared" si="4"/>
        <v>7.63</v>
      </c>
    </row>
    <row r="14" spans="1:14" ht="12.75">
      <c r="A14" s="77"/>
      <c r="B14" s="76" t="s">
        <v>14</v>
      </c>
      <c r="C14" s="36" t="s">
        <v>77</v>
      </c>
      <c r="D14" s="35" t="s">
        <v>76</v>
      </c>
      <c r="E14" s="36" t="s">
        <v>15</v>
      </c>
      <c r="F14" s="37">
        <f>F13*0.65</f>
        <v>454.13940000000014</v>
      </c>
      <c r="G14" s="38">
        <v>1.04</v>
      </c>
      <c r="H14" s="38">
        <f t="shared" si="0"/>
        <v>472.3049760000002</v>
      </c>
      <c r="I14" s="38">
        <v>0</v>
      </c>
      <c r="J14" s="38">
        <f t="shared" si="1"/>
        <v>0</v>
      </c>
      <c r="K14" s="38">
        <v>25.05</v>
      </c>
      <c r="L14" s="39">
        <f t="shared" si="2"/>
        <v>11376.191970000003</v>
      </c>
      <c r="M14" s="38">
        <f t="shared" si="3"/>
        <v>11848.496946000003</v>
      </c>
      <c r="N14" s="51">
        <f t="shared" si="4"/>
        <v>26.09</v>
      </c>
    </row>
    <row r="15" spans="1:14" ht="12.75">
      <c r="A15" s="77"/>
      <c r="B15" s="82" t="s">
        <v>103</v>
      </c>
      <c r="C15" s="36" t="s">
        <v>60</v>
      </c>
      <c r="D15" s="35" t="s">
        <v>59</v>
      </c>
      <c r="E15" s="36" t="s">
        <v>15</v>
      </c>
      <c r="F15" s="37">
        <f>F13-F14</f>
        <v>244.53660000000002</v>
      </c>
      <c r="G15" s="38">
        <v>0.35</v>
      </c>
      <c r="H15" s="38">
        <f t="shared" si="0"/>
        <v>85.58781</v>
      </c>
      <c r="I15" s="38">
        <v>0</v>
      </c>
      <c r="J15" s="38">
        <f t="shared" si="1"/>
        <v>0</v>
      </c>
      <c r="K15" s="38">
        <v>8.53</v>
      </c>
      <c r="L15" s="39">
        <f t="shared" si="2"/>
        <v>2085.897198</v>
      </c>
      <c r="M15" s="38">
        <f>L15+J15+H15</f>
        <v>2171.485008</v>
      </c>
      <c r="N15" s="51">
        <f>G15+I15+K15</f>
        <v>8.879999999999999</v>
      </c>
    </row>
    <row r="16" spans="2:14" ht="12.75">
      <c r="B16" s="76" t="s">
        <v>104</v>
      </c>
      <c r="C16" s="36" t="s">
        <v>61</v>
      </c>
      <c r="D16" s="35" t="s">
        <v>34</v>
      </c>
      <c r="E16" s="36" t="s">
        <v>15</v>
      </c>
      <c r="F16" s="37">
        <f>F15</f>
        <v>244.53660000000002</v>
      </c>
      <c r="G16" s="38">
        <v>0.1</v>
      </c>
      <c r="H16" s="38">
        <f t="shared" si="0"/>
        <v>24.453660000000003</v>
      </c>
      <c r="I16" s="38">
        <v>0</v>
      </c>
      <c r="J16" s="38">
        <f t="shared" si="1"/>
        <v>0</v>
      </c>
      <c r="K16" s="38">
        <v>2.47</v>
      </c>
      <c r="L16" s="39">
        <f t="shared" si="2"/>
        <v>604.0054020000001</v>
      </c>
      <c r="M16" s="38">
        <f>L16+J16+H16</f>
        <v>628.4590620000001</v>
      </c>
      <c r="N16" s="51">
        <f>G16+I16+K16</f>
        <v>2.5700000000000003</v>
      </c>
    </row>
    <row r="17" spans="2:14" ht="12.75">
      <c r="B17" s="82" t="s">
        <v>105</v>
      </c>
      <c r="C17" s="36" t="s">
        <v>72</v>
      </c>
      <c r="D17" s="35" t="s">
        <v>256</v>
      </c>
      <c r="E17" s="36" t="s">
        <v>15</v>
      </c>
      <c r="F17" s="106">
        <f>F12*1*0.2</f>
        <v>204.22000000000003</v>
      </c>
      <c r="G17" s="38">
        <v>0.59</v>
      </c>
      <c r="H17" s="38">
        <f t="shared" si="0"/>
        <v>120.48980000000002</v>
      </c>
      <c r="I17" s="38">
        <v>0</v>
      </c>
      <c r="J17" s="38">
        <f t="shared" si="1"/>
        <v>0</v>
      </c>
      <c r="K17" s="38">
        <v>14.19</v>
      </c>
      <c r="L17" s="39">
        <f t="shared" si="2"/>
        <v>2897.8818</v>
      </c>
      <c r="M17" s="38">
        <f>L17+J17+H17</f>
        <v>3018.3716</v>
      </c>
      <c r="N17" s="51">
        <f>G17+I17+K17</f>
        <v>14.78</v>
      </c>
    </row>
    <row r="18" spans="1:14" ht="27" customHeight="1">
      <c r="A18" s="77"/>
      <c r="B18" s="82" t="s">
        <v>106</v>
      </c>
      <c r="C18" s="88"/>
      <c r="D18" s="100" t="s">
        <v>262</v>
      </c>
      <c r="E18" s="88" t="s">
        <v>33</v>
      </c>
      <c r="F18" s="101">
        <f>F12</f>
        <v>1021.1</v>
      </c>
      <c r="G18" s="102">
        <v>3.6</v>
      </c>
      <c r="H18" s="102">
        <f t="shared" si="0"/>
        <v>3675.96</v>
      </c>
      <c r="I18" s="102">
        <v>32.87</v>
      </c>
      <c r="J18" s="102">
        <f t="shared" si="1"/>
        <v>33563.557</v>
      </c>
      <c r="K18" s="102">
        <v>55.01</v>
      </c>
      <c r="L18" s="103">
        <f t="shared" si="2"/>
        <v>56170.710999999996</v>
      </c>
      <c r="M18" s="102">
        <f t="shared" si="3"/>
        <v>93410.228</v>
      </c>
      <c r="N18" s="97">
        <f t="shared" si="4"/>
        <v>91.47999999999999</v>
      </c>
    </row>
    <row r="19" spans="2:14" ht="13.5" thickBot="1">
      <c r="B19" s="82" t="s">
        <v>107</v>
      </c>
      <c r="C19" s="36"/>
      <c r="D19" s="35" t="s">
        <v>263</v>
      </c>
      <c r="E19" s="36" t="s">
        <v>55</v>
      </c>
      <c r="F19" s="37">
        <v>21</v>
      </c>
      <c r="G19" s="38">
        <v>54.52</v>
      </c>
      <c r="H19" s="38">
        <f t="shared" si="0"/>
        <v>1144.92</v>
      </c>
      <c r="I19" s="38">
        <v>496.86</v>
      </c>
      <c r="J19" s="38">
        <f t="shared" si="1"/>
        <v>10434.06</v>
      </c>
      <c r="K19" s="38">
        <v>831.51</v>
      </c>
      <c r="L19" s="39">
        <f t="shared" si="2"/>
        <v>17461.71</v>
      </c>
      <c r="M19" s="38">
        <f t="shared" si="3"/>
        <v>29040.689999999995</v>
      </c>
      <c r="N19" s="51">
        <f t="shared" si="4"/>
        <v>1382.8899999999999</v>
      </c>
    </row>
    <row r="20" spans="2:14" s="14" customFormat="1" ht="13.5" thickBot="1">
      <c r="B20" s="44"/>
      <c r="C20" s="86"/>
      <c r="D20" s="45" t="s">
        <v>6</v>
      </c>
      <c r="E20" s="46"/>
      <c r="F20" s="47"/>
      <c r="G20" s="48"/>
      <c r="H20" s="48">
        <f>SUM(H12:H19)</f>
        <v>6049.860046</v>
      </c>
      <c r="I20" s="48"/>
      <c r="J20" s="48">
        <f>SUM(J12:J19)</f>
        <v>43997.617</v>
      </c>
      <c r="K20" s="49"/>
      <c r="L20" s="48">
        <f>SUM(L12:L19)</f>
        <v>103375.94245</v>
      </c>
      <c r="M20" s="50">
        <f>H20+J20+L20</f>
        <v>153423.419496</v>
      </c>
      <c r="N20" s="27"/>
    </row>
    <row r="21" spans="2:14" ht="12.75">
      <c r="B21" s="25"/>
      <c r="C21" s="54"/>
      <c r="D21" s="25"/>
      <c r="E21" s="25"/>
      <c r="F21" s="26"/>
      <c r="G21" s="27"/>
      <c r="H21" s="28"/>
      <c r="I21" s="27"/>
      <c r="J21" s="28"/>
      <c r="K21" s="27"/>
      <c r="L21" s="28"/>
      <c r="M21" s="27"/>
      <c r="N21" s="27"/>
    </row>
    <row r="22" spans="2:14" s="14" customFormat="1" ht="12.75">
      <c r="B22" s="31" t="s">
        <v>16</v>
      </c>
      <c r="C22" s="31"/>
      <c r="D22" s="31" t="s">
        <v>178</v>
      </c>
      <c r="E22" s="31"/>
      <c r="F22" s="32"/>
      <c r="G22" s="33"/>
      <c r="H22" s="33"/>
      <c r="I22" s="33"/>
      <c r="J22" s="33"/>
      <c r="K22" s="33"/>
      <c r="L22" s="34"/>
      <c r="M22" s="33"/>
      <c r="N22" s="27"/>
    </row>
    <row r="23" spans="1:14" ht="12.75">
      <c r="A23" s="77"/>
      <c r="B23" s="76" t="s">
        <v>17</v>
      </c>
      <c r="C23" s="36">
        <v>73610</v>
      </c>
      <c r="D23" s="35" t="s">
        <v>261</v>
      </c>
      <c r="E23" s="36" t="s">
        <v>33</v>
      </c>
      <c r="F23" s="37">
        <v>213.8</v>
      </c>
      <c r="G23" s="38">
        <v>0.31</v>
      </c>
      <c r="H23" s="38">
        <f aca="true" t="shared" si="5" ref="H23:H30">G23*F23</f>
        <v>66.278</v>
      </c>
      <c r="I23" s="38">
        <v>0</v>
      </c>
      <c r="J23" s="38">
        <f aca="true" t="shared" si="6" ref="J23:J30">I23*F23</f>
        <v>0</v>
      </c>
      <c r="K23" s="38">
        <v>7.5</v>
      </c>
      <c r="L23" s="39">
        <f aca="true" t="shared" si="7" ref="L23:L30">K23*F23</f>
        <v>1603.5</v>
      </c>
      <c r="M23" s="38">
        <f aca="true" t="shared" si="8" ref="M23:M30">L23+J23+H23</f>
        <v>1669.778</v>
      </c>
      <c r="N23" s="51">
        <f aca="true" t="shared" si="9" ref="N23:N30">G23+I23+K23</f>
        <v>7.81</v>
      </c>
    </row>
    <row r="24" spans="1:14" ht="24">
      <c r="A24" s="77"/>
      <c r="B24" s="82" t="s">
        <v>18</v>
      </c>
      <c r="C24" s="88" t="s">
        <v>85</v>
      </c>
      <c r="D24" s="100" t="s">
        <v>86</v>
      </c>
      <c r="E24" s="88" t="s">
        <v>15</v>
      </c>
      <c r="F24" s="101">
        <f>(F30*1.6*1.6*1.6)+(F23*0.4*1.5)</f>
        <v>136.47200000000004</v>
      </c>
      <c r="G24" s="102">
        <v>0.3</v>
      </c>
      <c r="H24" s="102">
        <f t="shared" si="5"/>
        <v>40.94160000000001</v>
      </c>
      <c r="I24" s="102">
        <v>0</v>
      </c>
      <c r="J24" s="102">
        <f t="shared" si="6"/>
        <v>0</v>
      </c>
      <c r="K24" s="102">
        <v>7.33</v>
      </c>
      <c r="L24" s="103">
        <f t="shared" si="7"/>
        <v>1000.3397600000003</v>
      </c>
      <c r="M24" s="102">
        <f t="shared" si="8"/>
        <v>1041.2813600000004</v>
      </c>
      <c r="N24" s="97">
        <f t="shared" si="9"/>
        <v>7.63</v>
      </c>
    </row>
    <row r="25" spans="1:14" ht="12.75">
      <c r="A25" s="77"/>
      <c r="B25" s="76" t="s">
        <v>19</v>
      </c>
      <c r="C25" s="36" t="s">
        <v>77</v>
      </c>
      <c r="D25" s="35" t="s">
        <v>76</v>
      </c>
      <c r="E25" s="36" t="s">
        <v>15</v>
      </c>
      <c r="F25" s="37">
        <f>F24*0.65</f>
        <v>88.70680000000003</v>
      </c>
      <c r="G25" s="38">
        <v>1.04</v>
      </c>
      <c r="H25" s="38">
        <f t="shared" si="5"/>
        <v>92.25507200000004</v>
      </c>
      <c r="I25" s="38">
        <v>0</v>
      </c>
      <c r="J25" s="38">
        <f t="shared" si="6"/>
        <v>0</v>
      </c>
      <c r="K25" s="38">
        <v>25.05</v>
      </c>
      <c r="L25" s="39">
        <f t="shared" si="7"/>
        <v>2222.105340000001</v>
      </c>
      <c r="M25" s="38">
        <f t="shared" si="8"/>
        <v>2314.360412000001</v>
      </c>
      <c r="N25" s="51">
        <f t="shared" si="9"/>
        <v>26.09</v>
      </c>
    </row>
    <row r="26" spans="1:14" ht="12.75">
      <c r="A26" s="77"/>
      <c r="B26" s="82" t="s">
        <v>20</v>
      </c>
      <c r="C26" s="36" t="s">
        <v>60</v>
      </c>
      <c r="D26" s="35" t="s">
        <v>59</v>
      </c>
      <c r="E26" s="36" t="s">
        <v>15</v>
      </c>
      <c r="F26" s="37">
        <f>F24-F25</f>
        <v>47.76520000000001</v>
      </c>
      <c r="G26" s="38">
        <v>0.35</v>
      </c>
      <c r="H26" s="38">
        <f t="shared" si="5"/>
        <v>16.717820000000003</v>
      </c>
      <c r="I26" s="38">
        <v>0</v>
      </c>
      <c r="J26" s="38">
        <f t="shared" si="6"/>
        <v>0</v>
      </c>
      <c r="K26" s="38">
        <v>8.53</v>
      </c>
      <c r="L26" s="39">
        <f t="shared" si="7"/>
        <v>407.437156</v>
      </c>
      <c r="M26" s="38">
        <f t="shared" si="8"/>
        <v>424.15497600000003</v>
      </c>
      <c r="N26" s="51">
        <f t="shared" si="9"/>
        <v>8.879999999999999</v>
      </c>
    </row>
    <row r="27" spans="2:14" ht="12.75">
      <c r="B27" s="76" t="s">
        <v>35</v>
      </c>
      <c r="C27" s="36" t="s">
        <v>61</v>
      </c>
      <c r="D27" s="35" t="s">
        <v>34</v>
      </c>
      <c r="E27" s="36" t="s">
        <v>15</v>
      </c>
      <c r="F27" s="37">
        <f>F26</f>
        <v>47.76520000000001</v>
      </c>
      <c r="G27" s="38">
        <v>0.1</v>
      </c>
      <c r="H27" s="38">
        <f t="shared" si="5"/>
        <v>4.7765200000000005</v>
      </c>
      <c r="I27" s="38">
        <v>0</v>
      </c>
      <c r="J27" s="38">
        <f t="shared" si="6"/>
        <v>0</v>
      </c>
      <c r="K27" s="38">
        <v>2.47</v>
      </c>
      <c r="L27" s="39">
        <f t="shared" si="7"/>
        <v>117.98004400000002</v>
      </c>
      <c r="M27" s="38">
        <f t="shared" si="8"/>
        <v>122.75656400000003</v>
      </c>
      <c r="N27" s="51">
        <f t="shared" si="9"/>
        <v>2.5700000000000003</v>
      </c>
    </row>
    <row r="28" spans="2:14" ht="12.75" customHeight="1">
      <c r="B28" s="82" t="s">
        <v>36</v>
      </c>
      <c r="C28" s="36" t="s">
        <v>72</v>
      </c>
      <c r="D28" s="35" t="s">
        <v>256</v>
      </c>
      <c r="E28" s="36" t="s">
        <v>15</v>
      </c>
      <c r="F28" s="106">
        <f>F23*1*0.2</f>
        <v>42.760000000000005</v>
      </c>
      <c r="G28" s="38">
        <v>0.59</v>
      </c>
      <c r="H28" s="38">
        <f t="shared" si="5"/>
        <v>25.2284</v>
      </c>
      <c r="I28" s="38">
        <v>0</v>
      </c>
      <c r="J28" s="38">
        <f t="shared" si="6"/>
        <v>0</v>
      </c>
      <c r="K28" s="38">
        <v>14.19</v>
      </c>
      <c r="L28" s="39">
        <f t="shared" si="7"/>
        <v>606.7644</v>
      </c>
      <c r="M28" s="38">
        <f t="shared" si="8"/>
        <v>631.9928</v>
      </c>
      <c r="N28" s="51">
        <f t="shared" si="9"/>
        <v>14.78</v>
      </c>
    </row>
    <row r="29" spans="1:14" ht="27" customHeight="1">
      <c r="A29" s="77"/>
      <c r="B29" s="82" t="s">
        <v>37</v>
      </c>
      <c r="C29" s="88"/>
      <c r="D29" s="100" t="s">
        <v>262</v>
      </c>
      <c r="E29" s="88" t="s">
        <v>33</v>
      </c>
      <c r="F29" s="101">
        <f>F23</f>
        <v>213.8</v>
      </c>
      <c r="G29" s="102">
        <v>3.6</v>
      </c>
      <c r="H29" s="102">
        <f t="shared" si="5"/>
        <v>769.6800000000001</v>
      </c>
      <c r="I29" s="102">
        <v>32.51</v>
      </c>
      <c r="J29" s="102">
        <f t="shared" si="6"/>
        <v>6950.638</v>
      </c>
      <c r="K29" s="102">
        <v>54.79</v>
      </c>
      <c r="L29" s="103">
        <f t="shared" si="7"/>
        <v>11714.102</v>
      </c>
      <c r="M29" s="102">
        <f t="shared" si="8"/>
        <v>19434.420000000002</v>
      </c>
      <c r="N29" s="97">
        <f t="shared" si="9"/>
        <v>90.9</v>
      </c>
    </row>
    <row r="30" spans="2:14" ht="13.5" thickBot="1">
      <c r="B30" s="82" t="s">
        <v>38</v>
      </c>
      <c r="C30" s="36"/>
      <c r="D30" s="35" t="s">
        <v>263</v>
      </c>
      <c r="E30" s="36" t="s">
        <v>55</v>
      </c>
      <c r="F30" s="37">
        <v>2</v>
      </c>
      <c r="G30" s="38">
        <v>54.52</v>
      </c>
      <c r="H30" s="38">
        <f t="shared" si="5"/>
        <v>109.04</v>
      </c>
      <c r="I30" s="38">
        <v>491.34</v>
      </c>
      <c r="J30" s="38">
        <f t="shared" si="6"/>
        <v>982.68</v>
      </c>
      <c r="K30" s="38">
        <v>828.1</v>
      </c>
      <c r="L30" s="39">
        <f t="shared" si="7"/>
        <v>1656.2</v>
      </c>
      <c r="M30" s="38">
        <f t="shared" si="8"/>
        <v>2747.92</v>
      </c>
      <c r="N30" s="51">
        <f t="shared" si="9"/>
        <v>1373.96</v>
      </c>
    </row>
    <row r="31" spans="2:14" s="14" customFormat="1" ht="13.5" thickBot="1">
      <c r="B31" s="44"/>
      <c r="C31" s="86"/>
      <c r="D31" s="45" t="s">
        <v>6</v>
      </c>
      <c r="E31" s="46"/>
      <c r="F31" s="47"/>
      <c r="G31" s="48"/>
      <c r="H31" s="48">
        <f>SUM(H23:H30)</f>
        <v>1124.9174120000002</v>
      </c>
      <c r="I31" s="48"/>
      <c r="J31" s="48">
        <f>SUM(J23:J30)</f>
        <v>7933.318</v>
      </c>
      <c r="K31" s="49"/>
      <c r="L31" s="48">
        <f>SUM(L23:L30)</f>
        <v>19328.4287</v>
      </c>
      <c r="M31" s="50">
        <f>H31+J31+L31</f>
        <v>28386.664112</v>
      </c>
      <c r="N31" s="27"/>
    </row>
    <row r="32" spans="2:14" ht="12.75">
      <c r="B32" s="25"/>
      <c r="C32" s="54"/>
      <c r="D32" s="25"/>
      <c r="E32" s="25"/>
      <c r="F32" s="26"/>
      <c r="G32" s="27"/>
      <c r="H32" s="28"/>
      <c r="I32" s="27"/>
      <c r="J32" s="28"/>
      <c r="K32" s="27"/>
      <c r="L32" s="28"/>
      <c r="M32" s="27"/>
      <c r="N32" s="27"/>
    </row>
    <row r="33" spans="2:14" s="14" customFormat="1" ht="12.75">
      <c r="B33" s="31" t="s">
        <v>21</v>
      </c>
      <c r="C33" s="31"/>
      <c r="D33" s="31" t="s">
        <v>206</v>
      </c>
      <c r="E33" s="31"/>
      <c r="F33" s="32"/>
      <c r="G33" s="33"/>
      <c r="H33" s="33"/>
      <c r="I33" s="33"/>
      <c r="J33" s="33"/>
      <c r="K33" s="33"/>
      <c r="L33" s="34"/>
      <c r="M33" s="33"/>
      <c r="N33" s="27"/>
    </row>
    <row r="34" spans="1:14" ht="12.75">
      <c r="A34" s="77"/>
      <c r="B34" s="76" t="s">
        <v>22</v>
      </c>
      <c r="C34" s="36">
        <v>73610</v>
      </c>
      <c r="D34" s="35" t="s">
        <v>261</v>
      </c>
      <c r="E34" s="36" t="s">
        <v>33</v>
      </c>
      <c r="F34" s="37">
        <v>213.6</v>
      </c>
      <c r="G34" s="38">
        <v>0.31</v>
      </c>
      <c r="H34" s="38">
        <f aca="true" t="shared" si="10" ref="H34:H40">G34*F34</f>
        <v>66.216</v>
      </c>
      <c r="I34" s="38">
        <v>0</v>
      </c>
      <c r="J34" s="38">
        <f aca="true" t="shared" si="11" ref="J34:J40">I34*F34</f>
        <v>0</v>
      </c>
      <c r="K34" s="38">
        <v>7.5</v>
      </c>
      <c r="L34" s="39">
        <f aca="true" t="shared" si="12" ref="L34:L40">K34*F34</f>
        <v>1602</v>
      </c>
      <c r="M34" s="38">
        <f aca="true" t="shared" si="13" ref="M34:M40">L34+J34+H34</f>
        <v>1668.216</v>
      </c>
      <c r="N34" s="51">
        <f aca="true" t="shared" si="14" ref="N34:N40">G34+I34+K34</f>
        <v>7.81</v>
      </c>
    </row>
    <row r="35" spans="1:14" ht="24">
      <c r="A35" s="77"/>
      <c r="B35" s="82" t="s">
        <v>39</v>
      </c>
      <c r="C35" s="88" t="s">
        <v>85</v>
      </c>
      <c r="D35" s="100" t="s">
        <v>86</v>
      </c>
      <c r="E35" s="88" t="s">
        <v>15</v>
      </c>
      <c r="F35" s="101">
        <f>(F34*0.4*1.5)</f>
        <v>128.16</v>
      </c>
      <c r="G35" s="102">
        <v>0.3</v>
      </c>
      <c r="H35" s="102">
        <f t="shared" si="10"/>
        <v>38.448</v>
      </c>
      <c r="I35" s="102">
        <v>0</v>
      </c>
      <c r="J35" s="102">
        <f t="shared" si="11"/>
        <v>0</v>
      </c>
      <c r="K35" s="102">
        <v>7.33</v>
      </c>
      <c r="L35" s="103">
        <f t="shared" si="12"/>
        <v>939.4128</v>
      </c>
      <c r="M35" s="102">
        <f t="shared" si="13"/>
        <v>977.8607999999999</v>
      </c>
      <c r="N35" s="97">
        <f t="shared" si="14"/>
        <v>7.63</v>
      </c>
    </row>
    <row r="36" spans="1:14" ht="12.75">
      <c r="A36" s="77"/>
      <c r="B36" s="76" t="s">
        <v>40</v>
      </c>
      <c r="C36" s="36" t="s">
        <v>77</v>
      </c>
      <c r="D36" s="35" t="s">
        <v>76</v>
      </c>
      <c r="E36" s="36" t="s">
        <v>15</v>
      </c>
      <c r="F36" s="37">
        <f>F35*0.65</f>
        <v>83.304</v>
      </c>
      <c r="G36" s="38">
        <v>1.04</v>
      </c>
      <c r="H36" s="38">
        <f t="shared" si="10"/>
        <v>86.63616</v>
      </c>
      <c r="I36" s="38">
        <v>0</v>
      </c>
      <c r="J36" s="38">
        <f t="shared" si="11"/>
        <v>0</v>
      </c>
      <c r="K36" s="38">
        <v>25.05</v>
      </c>
      <c r="L36" s="39">
        <f t="shared" si="12"/>
        <v>2086.7652000000003</v>
      </c>
      <c r="M36" s="38">
        <f t="shared" si="13"/>
        <v>2173.4013600000003</v>
      </c>
      <c r="N36" s="51">
        <f t="shared" si="14"/>
        <v>26.09</v>
      </c>
    </row>
    <row r="37" spans="1:14" ht="12.75">
      <c r="A37" s="77"/>
      <c r="B37" s="82" t="s">
        <v>41</v>
      </c>
      <c r="C37" s="36" t="s">
        <v>60</v>
      </c>
      <c r="D37" s="35" t="s">
        <v>59</v>
      </c>
      <c r="E37" s="36" t="s">
        <v>15</v>
      </c>
      <c r="F37" s="37">
        <f>F35-F36</f>
        <v>44.855999999999995</v>
      </c>
      <c r="G37" s="38">
        <v>0.35</v>
      </c>
      <c r="H37" s="38">
        <f t="shared" si="10"/>
        <v>15.699599999999997</v>
      </c>
      <c r="I37" s="38">
        <v>0</v>
      </c>
      <c r="J37" s="38">
        <f t="shared" si="11"/>
        <v>0</v>
      </c>
      <c r="K37" s="38">
        <v>8.53</v>
      </c>
      <c r="L37" s="39">
        <f t="shared" si="12"/>
        <v>382.6216799999999</v>
      </c>
      <c r="M37" s="38">
        <f t="shared" si="13"/>
        <v>398.3212799999999</v>
      </c>
      <c r="N37" s="51">
        <f t="shared" si="14"/>
        <v>8.879999999999999</v>
      </c>
    </row>
    <row r="38" spans="2:14" ht="12.75">
      <c r="B38" s="76" t="s">
        <v>42</v>
      </c>
      <c r="C38" s="36" t="s">
        <v>61</v>
      </c>
      <c r="D38" s="35" t="s">
        <v>34</v>
      </c>
      <c r="E38" s="36" t="s">
        <v>15</v>
      </c>
      <c r="F38" s="37">
        <f>F37</f>
        <v>44.855999999999995</v>
      </c>
      <c r="G38" s="38">
        <v>0.1</v>
      </c>
      <c r="H38" s="38">
        <f t="shared" si="10"/>
        <v>4.4856</v>
      </c>
      <c r="I38" s="38">
        <v>0</v>
      </c>
      <c r="J38" s="38">
        <f t="shared" si="11"/>
        <v>0</v>
      </c>
      <c r="K38" s="38">
        <v>2.47</v>
      </c>
      <c r="L38" s="39">
        <f t="shared" si="12"/>
        <v>110.79432</v>
      </c>
      <c r="M38" s="38">
        <f t="shared" si="13"/>
        <v>115.27992</v>
      </c>
      <c r="N38" s="51">
        <f t="shared" si="14"/>
        <v>2.5700000000000003</v>
      </c>
    </row>
    <row r="39" spans="2:14" ht="12.75">
      <c r="B39" s="82" t="s">
        <v>43</v>
      </c>
      <c r="C39" s="36" t="s">
        <v>72</v>
      </c>
      <c r="D39" s="35" t="s">
        <v>256</v>
      </c>
      <c r="E39" s="36" t="s">
        <v>15</v>
      </c>
      <c r="F39" s="106">
        <f>F34*1*0.2</f>
        <v>42.72</v>
      </c>
      <c r="G39" s="38">
        <v>0.59</v>
      </c>
      <c r="H39" s="38">
        <f t="shared" si="10"/>
        <v>25.2048</v>
      </c>
      <c r="I39" s="38">
        <v>0</v>
      </c>
      <c r="J39" s="38">
        <f t="shared" si="11"/>
        <v>0</v>
      </c>
      <c r="K39" s="38">
        <v>14.19</v>
      </c>
      <c r="L39" s="39">
        <f t="shared" si="12"/>
        <v>606.1967999999999</v>
      </c>
      <c r="M39" s="38">
        <f t="shared" si="13"/>
        <v>631.4015999999999</v>
      </c>
      <c r="N39" s="51">
        <f t="shared" si="14"/>
        <v>14.78</v>
      </c>
    </row>
    <row r="40" spans="1:14" ht="27" customHeight="1" thickBot="1">
      <c r="A40" s="77"/>
      <c r="B40" s="82" t="s">
        <v>179</v>
      </c>
      <c r="C40" s="88"/>
      <c r="D40" s="100" t="s">
        <v>262</v>
      </c>
      <c r="E40" s="88" t="s">
        <v>33</v>
      </c>
      <c r="F40" s="101">
        <f>F34</f>
        <v>213.6</v>
      </c>
      <c r="G40" s="102">
        <v>3.6</v>
      </c>
      <c r="H40" s="102">
        <f t="shared" si="10"/>
        <v>768.96</v>
      </c>
      <c r="I40" s="102">
        <v>32.51</v>
      </c>
      <c r="J40" s="102">
        <f t="shared" si="11"/>
        <v>6944.1359999999995</v>
      </c>
      <c r="K40" s="102">
        <v>54.79</v>
      </c>
      <c r="L40" s="103">
        <f t="shared" si="12"/>
        <v>11703.144</v>
      </c>
      <c r="M40" s="102">
        <f t="shared" si="13"/>
        <v>19416.239999999998</v>
      </c>
      <c r="N40" s="97">
        <f t="shared" si="14"/>
        <v>90.9</v>
      </c>
    </row>
    <row r="41" spans="2:14" s="14" customFormat="1" ht="13.5" thickBot="1">
      <c r="B41" s="44"/>
      <c r="C41" s="86"/>
      <c r="D41" s="45" t="s">
        <v>6</v>
      </c>
      <c r="E41" s="46"/>
      <c r="F41" s="47"/>
      <c r="G41" s="48"/>
      <c r="H41" s="48">
        <f>SUM(H34:H40)</f>
        <v>1005.65016</v>
      </c>
      <c r="I41" s="48"/>
      <c r="J41" s="48">
        <f>SUM(J34:J40)</f>
        <v>6944.1359999999995</v>
      </c>
      <c r="K41" s="49"/>
      <c r="L41" s="48">
        <f>SUM(L34:L40)</f>
        <v>17430.9348</v>
      </c>
      <c r="M41" s="50">
        <f>H41+J41+L41</f>
        <v>25380.72096</v>
      </c>
      <c r="N41" s="27"/>
    </row>
    <row r="42" spans="2:14" ht="12.75">
      <c r="B42" s="25"/>
      <c r="C42" s="54"/>
      <c r="D42" s="25"/>
      <c r="E42" s="25"/>
      <c r="F42" s="26"/>
      <c r="G42" s="27"/>
      <c r="H42" s="28"/>
      <c r="I42" s="27"/>
      <c r="J42" s="28"/>
      <c r="K42" s="27"/>
      <c r="L42" s="28"/>
      <c r="M42" s="27"/>
      <c r="N42" s="27"/>
    </row>
    <row r="43" spans="2:14" s="14" customFormat="1" ht="12.75">
      <c r="B43" s="31" t="s">
        <v>44</v>
      </c>
      <c r="C43" s="31"/>
      <c r="D43" s="31" t="s">
        <v>217</v>
      </c>
      <c r="E43" s="31"/>
      <c r="F43" s="32"/>
      <c r="G43" s="33"/>
      <c r="H43" s="33"/>
      <c r="I43" s="33"/>
      <c r="J43" s="33"/>
      <c r="K43" s="33"/>
      <c r="L43" s="34"/>
      <c r="M43" s="33"/>
      <c r="N43" s="27"/>
    </row>
    <row r="44" spans="1:14" ht="12.75">
      <c r="A44" s="77"/>
      <c r="B44" s="76" t="s">
        <v>45</v>
      </c>
      <c r="C44" s="36">
        <v>73610</v>
      </c>
      <c r="D44" s="35" t="s">
        <v>261</v>
      </c>
      <c r="E44" s="36" t="s">
        <v>33</v>
      </c>
      <c r="F44" s="37">
        <v>212.6</v>
      </c>
      <c r="G44" s="38">
        <v>0.31</v>
      </c>
      <c r="H44" s="38">
        <f aca="true" t="shared" si="15" ref="H44:H50">G44*F44</f>
        <v>65.90599999999999</v>
      </c>
      <c r="I44" s="38">
        <v>0</v>
      </c>
      <c r="J44" s="38">
        <f aca="true" t="shared" si="16" ref="J44:J50">I44*F44</f>
        <v>0</v>
      </c>
      <c r="K44" s="38">
        <v>7.5</v>
      </c>
      <c r="L44" s="39">
        <f aca="true" t="shared" si="17" ref="L44:L50">K44*F44</f>
        <v>1594.5</v>
      </c>
      <c r="M44" s="38">
        <f aca="true" t="shared" si="18" ref="M44:M50">L44+J44+H44</f>
        <v>1660.406</v>
      </c>
      <c r="N44" s="51">
        <f aca="true" t="shared" si="19" ref="N44:N50">G44+I44+K44</f>
        <v>7.81</v>
      </c>
    </row>
    <row r="45" spans="1:14" ht="24">
      <c r="A45" s="77"/>
      <c r="B45" s="82" t="s">
        <v>46</v>
      </c>
      <c r="C45" s="88" t="s">
        <v>85</v>
      </c>
      <c r="D45" s="100" t="s">
        <v>86</v>
      </c>
      <c r="E45" s="88" t="s">
        <v>15</v>
      </c>
      <c r="F45" s="101">
        <f>(F44*0.4*1.5)</f>
        <v>127.56</v>
      </c>
      <c r="G45" s="102">
        <v>0.3</v>
      </c>
      <c r="H45" s="102">
        <f t="shared" si="15"/>
        <v>38.268</v>
      </c>
      <c r="I45" s="102">
        <v>0</v>
      </c>
      <c r="J45" s="102">
        <f t="shared" si="16"/>
        <v>0</v>
      </c>
      <c r="K45" s="102">
        <v>7.33</v>
      </c>
      <c r="L45" s="103">
        <f t="shared" si="17"/>
        <v>935.0148</v>
      </c>
      <c r="M45" s="102">
        <f t="shared" si="18"/>
        <v>973.2828000000001</v>
      </c>
      <c r="N45" s="97">
        <f t="shared" si="19"/>
        <v>7.63</v>
      </c>
    </row>
    <row r="46" spans="1:14" ht="12.75">
      <c r="A46" s="77"/>
      <c r="B46" s="76" t="s">
        <v>207</v>
      </c>
      <c r="C46" s="36" t="s">
        <v>77</v>
      </c>
      <c r="D46" s="35" t="s">
        <v>76</v>
      </c>
      <c r="E46" s="36" t="s">
        <v>15</v>
      </c>
      <c r="F46" s="37">
        <f>F45*0.65</f>
        <v>82.914</v>
      </c>
      <c r="G46" s="38">
        <v>1.04</v>
      </c>
      <c r="H46" s="38">
        <f t="shared" si="15"/>
        <v>86.23056000000001</v>
      </c>
      <c r="I46" s="38">
        <v>0</v>
      </c>
      <c r="J46" s="38">
        <f t="shared" si="16"/>
        <v>0</v>
      </c>
      <c r="K46" s="38">
        <v>25.05</v>
      </c>
      <c r="L46" s="39">
        <f t="shared" si="17"/>
        <v>2076.9957</v>
      </c>
      <c r="M46" s="38">
        <f t="shared" si="18"/>
        <v>2163.22626</v>
      </c>
      <c r="N46" s="51">
        <f t="shared" si="19"/>
        <v>26.09</v>
      </c>
    </row>
    <row r="47" spans="1:14" ht="12.75">
      <c r="A47" s="77"/>
      <c r="B47" s="82" t="s">
        <v>208</v>
      </c>
      <c r="C47" s="36" t="s">
        <v>60</v>
      </c>
      <c r="D47" s="35" t="s">
        <v>59</v>
      </c>
      <c r="E47" s="36" t="s">
        <v>15</v>
      </c>
      <c r="F47" s="37">
        <f>F45-F46</f>
        <v>44.646</v>
      </c>
      <c r="G47" s="38">
        <v>0.35</v>
      </c>
      <c r="H47" s="38">
        <f t="shared" si="15"/>
        <v>15.6261</v>
      </c>
      <c r="I47" s="38">
        <v>0</v>
      </c>
      <c r="J47" s="38">
        <f t="shared" si="16"/>
        <v>0</v>
      </c>
      <c r="K47" s="38">
        <v>8.53</v>
      </c>
      <c r="L47" s="39">
        <f t="shared" si="17"/>
        <v>380.83038</v>
      </c>
      <c r="M47" s="38">
        <f t="shared" si="18"/>
        <v>396.45648</v>
      </c>
      <c r="N47" s="51">
        <f t="shared" si="19"/>
        <v>8.879999999999999</v>
      </c>
    </row>
    <row r="48" spans="2:14" ht="12.75">
      <c r="B48" s="76" t="s">
        <v>209</v>
      </c>
      <c r="C48" s="36" t="s">
        <v>61</v>
      </c>
      <c r="D48" s="35" t="s">
        <v>34</v>
      </c>
      <c r="E48" s="36" t="s">
        <v>15</v>
      </c>
      <c r="F48" s="37">
        <f>F47</f>
        <v>44.646</v>
      </c>
      <c r="G48" s="38">
        <v>0.1</v>
      </c>
      <c r="H48" s="38">
        <f t="shared" si="15"/>
        <v>4.4646</v>
      </c>
      <c r="I48" s="38">
        <v>0</v>
      </c>
      <c r="J48" s="38">
        <f t="shared" si="16"/>
        <v>0</v>
      </c>
      <c r="K48" s="38">
        <v>2.47</v>
      </c>
      <c r="L48" s="39">
        <f t="shared" si="17"/>
        <v>110.27562000000002</v>
      </c>
      <c r="M48" s="38">
        <f t="shared" si="18"/>
        <v>114.74022000000002</v>
      </c>
      <c r="N48" s="51">
        <f t="shared" si="19"/>
        <v>2.5700000000000003</v>
      </c>
    </row>
    <row r="49" spans="2:14" ht="12.75">
      <c r="B49" s="82" t="s">
        <v>210</v>
      </c>
      <c r="C49" s="36" t="s">
        <v>72</v>
      </c>
      <c r="D49" s="35" t="s">
        <v>256</v>
      </c>
      <c r="E49" s="36" t="s">
        <v>15</v>
      </c>
      <c r="F49" s="106">
        <f>F44*1*0.2</f>
        <v>42.52</v>
      </c>
      <c r="G49" s="38">
        <v>0.59</v>
      </c>
      <c r="H49" s="38">
        <f t="shared" si="15"/>
        <v>25.0868</v>
      </c>
      <c r="I49" s="38">
        <v>0</v>
      </c>
      <c r="J49" s="38">
        <f t="shared" si="16"/>
        <v>0</v>
      </c>
      <c r="K49" s="38">
        <v>14.19</v>
      </c>
      <c r="L49" s="39">
        <f t="shared" si="17"/>
        <v>603.3588</v>
      </c>
      <c r="M49" s="38">
        <f t="shared" si="18"/>
        <v>628.4456</v>
      </c>
      <c r="N49" s="51">
        <f t="shared" si="19"/>
        <v>14.78</v>
      </c>
    </row>
    <row r="50" spans="1:14" ht="27" customHeight="1" thickBot="1">
      <c r="A50" s="77"/>
      <c r="B50" s="82" t="s">
        <v>211</v>
      </c>
      <c r="C50" s="88"/>
      <c r="D50" s="100" t="s">
        <v>262</v>
      </c>
      <c r="E50" s="88" t="s">
        <v>33</v>
      </c>
      <c r="F50" s="101">
        <f>F44</f>
        <v>212.6</v>
      </c>
      <c r="G50" s="102">
        <v>3.6</v>
      </c>
      <c r="H50" s="102">
        <f t="shared" si="15"/>
        <v>765.36</v>
      </c>
      <c r="I50" s="102">
        <v>32.51</v>
      </c>
      <c r="J50" s="102">
        <f t="shared" si="16"/>
        <v>6911.625999999999</v>
      </c>
      <c r="K50" s="102">
        <v>54.79</v>
      </c>
      <c r="L50" s="103">
        <f t="shared" si="17"/>
        <v>11648.354</v>
      </c>
      <c r="M50" s="102">
        <f t="shared" si="18"/>
        <v>19325.34</v>
      </c>
      <c r="N50" s="97">
        <f t="shared" si="19"/>
        <v>90.9</v>
      </c>
    </row>
    <row r="51" spans="2:14" s="14" customFormat="1" ht="13.5" thickBot="1">
      <c r="B51" s="44"/>
      <c r="C51" s="86"/>
      <c r="D51" s="45" t="s">
        <v>6</v>
      </c>
      <c r="E51" s="46"/>
      <c r="F51" s="47"/>
      <c r="G51" s="48"/>
      <c r="H51" s="48">
        <f>SUM(H44:H50)</f>
        <v>1000.9420600000001</v>
      </c>
      <c r="I51" s="48"/>
      <c r="J51" s="48">
        <f>SUM(J44:J50)</f>
        <v>6911.625999999999</v>
      </c>
      <c r="K51" s="49"/>
      <c r="L51" s="48">
        <f>SUM(L44:L50)</f>
        <v>17349.3293</v>
      </c>
      <c r="M51" s="50">
        <f>H51+J51+L51</f>
        <v>25261.897360000003</v>
      </c>
      <c r="N51" s="27"/>
    </row>
    <row r="52" spans="2:14" ht="12.75">
      <c r="B52" s="25"/>
      <c r="C52" s="54"/>
      <c r="D52" s="25"/>
      <c r="E52" s="25"/>
      <c r="F52" s="26"/>
      <c r="G52" s="27"/>
      <c r="H52" s="28"/>
      <c r="I52" s="27"/>
      <c r="J52" s="28"/>
      <c r="K52" s="27"/>
      <c r="L52" s="28"/>
      <c r="M52" s="27"/>
      <c r="N52" s="27"/>
    </row>
    <row r="53" spans="2:14" s="14" customFormat="1" ht="12.75">
      <c r="B53" s="31" t="s">
        <v>47</v>
      </c>
      <c r="C53" s="31"/>
      <c r="D53" s="31" t="s">
        <v>224</v>
      </c>
      <c r="E53" s="31"/>
      <c r="F53" s="32"/>
      <c r="G53" s="33"/>
      <c r="H53" s="33"/>
      <c r="I53" s="33"/>
      <c r="J53" s="33"/>
      <c r="K53" s="33"/>
      <c r="L53" s="34"/>
      <c r="M53" s="33"/>
      <c r="N53" s="27"/>
    </row>
    <row r="54" spans="1:14" ht="12.75">
      <c r="A54" s="77"/>
      <c r="B54" s="76" t="s">
        <v>49</v>
      </c>
      <c r="C54" s="36">
        <v>73610</v>
      </c>
      <c r="D54" s="35" t="s">
        <v>261</v>
      </c>
      <c r="E54" s="36" t="s">
        <v>33</v>
      </c>
      <c r="F54" s="37">
        <v>474</v>
      </c>
      <c r="G54" s="38">
        <v>0.31</v>
      </c>
      <c r="H54" s="38">
        <f aca="true" t="shared" si="20" ref="H54:H61">G54*F54</f>
        <v>146.94</v>
      </c>
      <c r="I54" s="38">
        <v>0</v>
      </c>
      <c r="J54" s="38">
        <f aca="true" t="shared" si="21" ref="J54:J61">I54*F54</f>
        <v>0</v>
      </c>
      <c r="K54" s="38">
        <v>7.5</v>
      </c>
      <c r="L54" s="39">
        <f aca="true" t="shared" si="22" ref="L54:L61">K54*F54</f>
        <v>3555</v>
      </c>
      <c r="M54" s="38">
        <f aca="true" t="shared" si="23" ref="M54:M61">L54+J54+H54</f>
        <v>3701.94</v>
      </c>
      <c r="N54" s="51">
        <f aca="true" t="shared" si="24" ref="N54:N61">G54+I54+K54</f>
        <v>7.81</v>
      </c>
    </row>
    <row r="55" spans="1:14" ht="24">
      <c r="A55" s="77"/>
      <c r="B55" s="82" t="s">
        <v>50</v>
      </c>
      <c r="C55" s="88" t="s">
        <v>85</v>
      </c>
      <c r="D55" s="100" t="s">
        <v>86</v>
      </c>
      <c r="E55" s="88" t="s">
        <v>15</v>
      </c>
      <c r="F55" s="101">
        <f>(F61*1.6*1.6*1.6)+(F54*0.4*1.5)</f>
        <v>292.59200000000004</v>
      </c>
      <c r="G55" s="102">
        <v>0.3</v>
      </c>
      <c r="H55" s="102">
        <f t="shared" si="20"/>
        <v>87.7776</v>
      </c>
      <c r="I55" s="102">
        <v>0</v>
      </c>
      <c r="J55" s="102">
        <f t="shared" si="21"/>
        <v>0</v>
      </c>
      <c r="K55" s="102">
        <v>7.33</v>
      </c>
      <c r="L55" s="103">
        <f t="shared" si="22"/>
        <v>2144.6993600000005</v>
      </c>
      <c r="M55" s="102">
        <f t="shared" si="23"/>
        <v>2232.4769600000004</v>
      </c>
      <c r="N55" s="97">
        <f t="shared" si="24"/>
        <v>7.63</v>
      </c>
    </row>
    <row r="56" spans="1:14" ht="12.75">
      <c r="A56" s="77"/>
      <c r="B56" s="76" t="s">
        <v>51</v>
      </c>
      <c r="C56" s="36" t="s">
        <v>77</v>
      </c>
      <c r="D56" s="35" t="s">
        <v>76</v>
      </c>
      <c r="E56" s="36" t="s">
        <v>15</v>
      </c>
      <c r="F56" s="37">
        <f>F55*0.65</f>
        <v>190.18480000000002</v>
      </c>
      <c r="G56" s="38">
        <v>1.04</v>
      </c>
      <c r="H56" s="38">
        <f t="shared" si="20"/>
        <v>197.79219200000003</v>
      </c>
      <c r="I56" s="38">
        <v>0</v>
      </c>
      <c r="J56" s="38">
        <f t="shared" si="21"/>
        <v>0</v>
      </c>
      <c r="K56" s="38">
        <v>25.05</v>
      </c>
      <c r="L56" s="39">
        <f t="shared" si="22"/>
        <v>4764.129240000001</v>
      </c>
      <c r="M56" s="38">
        <f t="shared" si="23"/>
        <v>4961.921432000001</v>
      </c>
      <c r="N56" s="51">
        <f t="shared" si="24"/>
        <v>26.09</v>
      </c>
    </row>
    <row r="57" spans="1:14" ht="12.75">
      <c r="A57" s="77"/>
      <c r="B57" s="82" t="s">
        <v>90</v>
      </c>
      <c r="C57" s="36" t="s">
        <v>60</v>
      </c>
      <c r="D57" s="35" t="s">
        <v>59</v>
      </c>
      <c r="E57" s="36" t="s">
        <v>15</v>
      </c>
      <c r="F57" s="37">
        <f>F55-F56</f>
        <v>102.40720000000002</v>
      </c>
      <c r="G57" s="38">
        <v>0.35</v>
      </c>
      <c r="H57" s="38">
        <f t="shared" si="20"/>
        <v>35.84252</v>
      </c>
      <c r="I57" s="38">
        <v>0</v>
      </c>
      <c r="J57" s="38">
        <f t="shared" si="21"/>
        <v>0</v>
      </c>
      <c r="K57" s="38">
        <v>8.53</v>
      </c>
      <c r="L57" s="39">
        <f t="shared" si="22"/>
        <v>873.5334160000001</v>
      </c>
      <c r="M57" s="38">
        <f t="shared" si="23"/>
        <v>909.3759360000001</v>
      </c>
      <c r="N57" s="51">
        <f t="shared" si="24"/>
        <v>8.879999999999999</v>
      </c>
    </row>
    <row r="58" spans="2:14" ht="12.75">
      <c r="B58" s="76" t="s">
        <v>91</v>
      </c>
      <c r="C58" s="36" t="s">
        <v>61</v>
      </c>
      <c r="D58" s="35" t="s">
        <v>34</v>
      </c>
      <c r="E58" s="36" t="s">
        <v>15</v>
      </c>
      <c r="F58" s="37">
        <f>F57</f>
        <v>102.40720000000002</v>
      </c>
      <c r="G58" s="38">
        <v>0.1</v>
      </c>
      <c r="H58" s="38">
        <f t="shared" si="20"/>
        <v>10.240720000000003</v>
      </c>
      <c r="I58" s="38">
        <v>0</v>
      </c>
      <c r="J58" s="38">
        <f t="shared" si="21"/>
        <v>0</v>
      </c>
      <c r="K58" s="38">
        <v>2.47</v>
      </c>
      <c r="L58" s="39">
        <f t="shared" si="22"/>
        <v>252.94578400000006</v>
      </c>
      <c r="M58" s="38">
        <f t="shared" si="23"/>
        <v>263.18650400000007</v>
      </c>
      <c r="N58" s="51">
        <f t="shared" si="24"/>
        <v>2.5700000000000003</v>
      </c>
    </row>
    <row r="59" spans="2:14" ht="12.75">
      <c r="B59" s="82" t="s">
        <v>92</v>
      </c>
      <c r="C59" s="36" t="s">
        <v>72</v>
      </c>
      <c r="D59" s="35" t="s">
        <v>256</v>
      </c>
      <c r="E59" s="36" t="s">
        <v>15</v>
      </c>
      <c r="F59" s="106">
        <f>F54*1*0.2</f>
        <v>94.80000000000001</v>
      </c>
      <c r="G59" s="38">
        <v>0.59</v>
      </c>
      <c r="H59" s="38">
        <f t="shared" si="20"/>
        <v>55.932</v>
      </c>
      <c r="I59" s="38">
        <v>0</v>
      </c>
      <c r="J59" s="38">
        <f t="shared" si="21"/>
        <v>0</v>
      </c>
      <c r="K59" s="38">
        <v>14.19</v>
      </c>
      <c r="L59" s="39">
        <f t="shared" si="22"/>
        <v>1345.2120000000002</v>
      </c>
      <c r="M59" s="38">
        <f t="shared" si="23"/>
        <v>1401.1440000000002</v>
      </c>
      <c r="N59" s="51">
        <f t="shared" si="24"/>
        <v>14.78</v>
      </c>
    </row>
    <row r="60" spans="1:14" ht="27" customHeight="1">
      <c r="A60" s="77"/>
      <c r="B60" s="82" t="s">
        <v>218</v>
      </c>
      <c r="C60" s="88"/>
      <c r="D60" s="100" t="s">
        <v>262</v>
      </c>
      <c r="E60" s="88" t="s">
        <v>33</v>
      </c>
      <c r="F60" s="101">
        <f>F54</f>
        <v>474</v>
      </c>
      <c r="G60" s="102">
        <v>3.6</v>
      </c>
      <c r="H60" s="102">
        <f t="shared" si="20"/>
        <v>1706.4</v>
      </c>
      <c r="I60" s="102">
        <v>32.51</v>
      </c>
      <c r="J60" s="102">
        <f t="shared" si="21"/>
        <v>15409.74</v>
      </c>
      <c r="K60" s="102">
        <v>54.79</v>
      </c>
      <c r="L60" s="103">
        <f t="shared" si="22"/>
        <v>25970.46</v>
      </c>
      <c r="M60" s="102">
        <f t="shared" si="23"/>
        <v>43086.6</v>
      </c>
      <c r="N60" s="97">
        <f t="shared" si="24"/>
        <v>90.9</v>
      </c>
    </row>
    <row r="61" spans="2:14" ht="13.5" thickBot="1">
      <c r="B61" s="82" t="s">
        <v>219</v>
      </c>
      <c r="C61" s="36"/>
      <c r="D61" s="35" t="s">
        <v>263</v>
      </c>
      <c r="E61" s="36" t="s">
        <v>55</v>
      </c>
      <c r="F61" s="37">
        <v>2</v>
      </c>
      <c r="G61" s="38">
        <v>54.52</v>
      </c>
      <c r="H61" s="38">
        <f t="shared" si="20"/>
        <v>109.04</v>
      </c>
      <c r="I61" s="38">
        <v>491.34</v>
      </c>
      <c r="J61" s="38">
        <f t="shared" si="21"/>
        <v>982.68</v>
      </c>
      <c r="K61" s="38">
        <v>828.1</v>
      </c>
      <c r="L61" s="39">
        <f t="shared" si="22"/>
        <v>1656.2</v>
      </c>
      <c r="M61" s="38">
        <f t="shared" si="23"/>
        <v>2747.92</v>
      </c>
      <c r="N61" s="51">
        <f t="shared" si="24"/>
        <v>1373.96</v>
      </c>
    </row>
    <row r="62" spans="2:14" s="14" customFormat="1" ht="13.5" thickBot="1">
      <c r="B62" s="44"/>
      <c r="C62" s="86"/>
      <c r="D62" s="45" t="s">
        <v>6</v>
      </c>
      <c r="E62" s="46"/>
      <c r="F62" s="47"/>
      <c r="G62" s="48"/>
      <c r="H62" s="48">
        <f>SUM(H54:H61)</f>
        <v>2349.965032</v>
      </c>
      <c r="I62" s="48"/>
      <c r="J62" s="48">
        <f>SUM(J54:J61)</f>
        <v>16392.42</v>
      </c>
      <c r="K62" s="49"/>
      <c r="L62" s="48">
        <f>SUM(L54:L61)</f>
        <v>40562.1798</v>
      </c>
      <c r="M62" s="50">
        <f>H62+J62+L62</f>
        <v>59304.564832</v>
      </c>
      <c r="N62" s="27"/>
    </row>
    <row r="63" spans="2:14" ht="12.75">
      <c r="B63" s="25"/>
      <c r="C63" s="54"/>
      <c r="D63" s="25"/>
      <c r="E63" s="25"/>
      <c r="F63" s="26"/>
      <c r="G63" s="27"/>
      <c r="H63" s="28"/>
      <c r="I63" s="27"/>
      <c r="J63" s="28"/>
      <c r="K63" s="27"/>
      <c r="L63" s="28"/>
      <c r="M63" s="27"/>
      <c r="N63" s="27"/>
    </row>
    <row r="64" spans="2:14" s="14" customFormat="1" ht="12.75">
      <c r="B64" s="31" t="s">
        <v>48</v>
      </c>
      <c r="C64" s="31"/>
      <c r="D64" s="31" t="s">
        <v>229</v>
      </c>
      <c r="E64" s="31"/>
      <c r="F64" s="32"/>
      <c r="G64" s="33"/>
      <c r="H64" s="33"/>
      <c r="I64" s="33"/>
      <c r="J64" s="33"/>
      <c r="K64" s="33"/>
      <c r="L64" s="34"/>
      <c r="M64" s="33"/>
      <c r="N64" s="27"/>
    </row>
    <row r="65" spans="1:14" ht="12.75">
      <c r="A65" s="77"/>
      <c r="B65" s="76" t="s">
        <v>53</v>
      </c>
      <c r="C65" s="36">
        <v>73610</v>
      </c>
      <c r="D65" s="35" t="s">
        <v>261</v>
      </c>
      <c r="E65" s="36" t="s">
        <v>33</v>
      </c>
      <c r="F65" s="37">
        <v>358.6</v>
      </c>
      <c r="G65" s="38">
        <v>0.31</v>
      </c>
      <c r="H65" s="38">
        <f aca="true" t="shared" si="25" ref="H65:H71">G65*F65</f>
        <v>111.16600000000001</v>
      </c>
      <c r="I65" s="38">
        <v>0</v>
      </c>
      <c r="J65" s="38">
        <f aca="true" t="shared" si="26" ref="J65:J71">I65*F65</f>
        <v>0</v>
      </c>
      <c r="K65" s="38">
        <v>7.5</v>
      </c>
      <c r="L65" s="39">
        <f aca="true" t="shared" si="27" ref="L65:L71">K65*F65</f>
        <v>2689.5</v>
      </c>
      <c r="M65" s="38">
        <f aca="true" t="shared" si="28" ref="M65:M71">L65+J65+H65</f>
        <v>2800.666</v>
      </c>
      <c r="N65" s="51">
        <f aca="true" t="shared" si="29" ref="N65:N71">G65+I65+K65</f>
        <v>7.81</v>
      </c>
    </row>
    <row r="66" spans="1:14" ht="24">
      <c r="A66" s="77"/>
      <c r="B66" s="82" t="s">
        <v>56</v>
      </c>
      <c r="C66" s="88" t="s">
        <v>85</v>
      </c>
      <c r="D66" s="100" t="s">
        <v>86</v>
      </c>
      <c r="E66" s="88" t="s">
        <v>15</v>
      </c>
      <c r="F66" s="101">
        <f>(F65*0.4*1.5)</f>
        <v>215.16000000000003</v>
      </c>
      <c r="G66" s="102">
        <v>0.3</v>
      </c>
      <c r="H66" s="102">
        <f t="shared" si="25"/>
        <v>64.548</v>
      </c>
      <c r="I66" s="102">
        <v>0</v>
      </c>
      <c r="J66" s="102">
        <f t="shared" si="26"/>
        <v>0</v>
      </c>
      <c r="K66" s="102">
        <v>7.33</v>
      </c>
      <c r="L66" s="103">
        <f t="shared" si="27"/>
        <v>1577.1228</v>
      </c>
      <c r="M66" s="102">
        <f t="shared" si="28"/>
        <v>1641.6708</v>
      </c>
      <c r="N66" s="97">
        <f t="shared" si="29"/>
        <v>7.63</v>
      </c>
    </row>
    <row r="67" spans="1:14" ht="12.75">
      <c r="A67" s="77"/>
      <c r="B67" s="76" t="s">
        <v>57</v>
      </c>
      <c r="C67" s="36" t="s">
        <v>77</v>
      </c>
      <c r="D67" s="35" t="s">
        <v>76</v>
      </c>
      <c r="E67" s="36" t="s">
        <v>15</v>
      </c>
      <c r="F67" s="37">
        <f>F66*0.65</f>
        <v>139.854</v>
      </c>
      <c r="G67" s="38">
        <v>1.04</v>
      </c>
      <c r="H67" s="38">
        <f t="shared" si="25"/>
        <v>145.44816000000003</v>
      </c>
      <c r="I67" s="38">
        <v>0</v>
      </c>
      <c r="J67" s="38">
        <f t="shared" si="26"/>
        <v>0</v>
      </c>
      <c r="K67" s="38">
        <v>25.05</v>
      </c>
      <c r="L67" s="39">
        <f t="shared" si="27"/>
        <v>3503.3427000000006</v>
      </c>
      <c r="M67" s="38">
        <f t="shared" si="28"/>
        <v>3648.7908600000005</v>
      </c>
      <c r="N67" s="51">
        <f t="shared" si="29"/>
        <v>26.09</v>
      </c>
    </row>
    <row r="68" spans="1:14" ht="12.75">
      <c r="A68" s="77"/>
      <c r="B68" s="82" t="s">
        <v>225</v>
      </c>
      <c r="C68" s="36" t="s">
        <v>60</v>
      </c>
      <c r="D68" s="35" t="s">
        <v>59</v>
      </c>
      <c r="E68" s="36" t="s">
        <v>15</v>
      </c>
      <c r="F68" s="37">
        <f>F66-F67</f>
        <v>75.30600000000001</v>
      </c>
      <c r="G68" s="38">
        <v>0.35</v>
      </c>
      <c r="H68" s="38">
        <f t="shared" si="25"/>
        <v>26.357100000000003</v>
      </c>
      <c r="I68" s="38">
        <v>0</v>
      </c>
      <c r="J68" s="38">
        <f t="shared" si="26"/>
        <v>0</v>
      </c>
      <c r="K68" s="38">
        <v>8.53</v>
      </c>
      <c r="L68" s="39">
        <f t="shared" si="27"/>
        <v>642.36018</v>
      </c>
      <c r="M68" s="38">
        <f t="shared" si="28"/>
        <v>668.7172800000001</v>
      </c>
      <c r="N68" s="51">
        <f t="shared" si="29"/>
        <v>8.879999999999999</v>
      </c>
    </row>
    <row r="69" spans="2:14" ht="12.75">
      <c r="B69" s="76" t="s">
        <v>226</v>
      </c>
      <c r="C69" s="36" t="s">
        <v>61</v>
      </c>
      <c r="D69" s="35" t="s">
        <v>34</v>
      </c>
      <c r="E69" s="36" t="s">
        <v>15</v>
      </c>
      <c r="F69" s="37">
        <f>F68</f>
        <v>75.30600000000001</v>
      </c>
      <c r="G69" s="38">
        <v>0.1</v>
      </c>
      <c r="H69" s="38">
        <f t="shared" si="25"/>
        <v>7.5306000000000015</v>
      </c>
      <c r="I69" s="38">
        <v>0</v>
      </c>
      <c r="J69" s="38">
        <f t="shared" si="26"/>
        <v>0</v>
      </c>
      <c r="K69" s="38">
        <v>2.47</v>
      </c>
      <c r="L69" s="39">
        <f t="shared" si="27"/>
        <v>186.00582000000006</v>
      </c>
      <c r="M69" s="38">
        <f t="shared" si="28"/>
        <v>193.53642000000005</v>
      </c>
      <c r="N69" s="51">
        <f t="shared" si="29"/>
        <v>2.5700000000000003</v>
      </c>
    </row>
    <row r="70" spans="2:14" ht="12.75">
      <c r="B70" s="82" t="s">
        <v>227</v>
      </c>
      <c r="C70" s="36" t="s">
        <v>72</v>
      </c>
      <c r="D70" s="35" t="s">
        <v>256</v>
      </c>
      <c r="E70" s="36" t="s">
        <v>15</v>
      </c>
      <c r="F70" s="106">
        <f>F65*1*0.2</f>
        <v>71.72000000000001</v>
      </c>
      <c r="G70" s="38">
        <v>0.59</v>
      </c>
      <c r="H70" s="38">
        <f t="shared" si="25"/>
        <v>42.314800000000005</v>
      </c>
      <c r="I70" s="38">
        <v>0</v>
      </c>
      <c r="J70" s="38">
        <f t="shared" si="26"/>
        <v>0</v>
      </c>
      <c r="K70" s="38">
        <v>14.19</v>
      </c>
      <c r="L70" s="39">
        <f t="shared" si="27"/>
        <v>1017.7068000000002</v>
      </c>
      <c r="M70" s="38">
        <f t="shared" si="28"/>
        <v>1060.0216000000003</v>
      </c>
      <c r="N70" s="51">
        <f t="shared" si="29"/>
        <v>14.78</v>
      </c>
    </row>
    <row r="71" spans="1:14" ht="27" customHeight="1" thickBot="1">
      <c r="A71" s="77"/>
      <c r="B71" s="82" t="s">
        <v>228</v>
      </c>
      <c r="C71" s="88"/>
      <c r="D71" s="100" t="s">
        <v>262</v>
      </c>
      <c r="E71" s="88" t="s">
        <v>33</v>
      </c>
      <c r="F71" s="101">
        <f>F65</f>
        <v>358.6</v>
      </c>
      <c r="G71" s="102">
        <v>3.6</v>
      </c>
      <c r="H71" s="102">
        <f t="shared" si="25"/>
        <v>1290.96</v>
      </c>
      <c r="I71" s="102">
        <v>32.51</v>
      </c>
      <c r="J71" s="102">
        <f t="shared" si="26"/>
        <v>11658.086</v>
      </c>
      <c r="K71" s="102">
        <v>54.79</v>
      </c>
      <c r="L71" s="103">
        <f t="shared" si="27"/>
        <v>19647.694</v>
      </c>
      <c r="M71" s="102">
        <f t="shared" si="28"/>
        <v>32596.739999999998</v>
      </c>
      <c r="N71" s="97">
        <f t="shared" si="29"/>
        <v>90.9</v>
      </c>
    </row>
    <row r="72" spans="2:14" s="14" customFormat="1" ht="13.5" thickBot="1">
      <c r="B72" s="44"/>
      <c r="C72" s="86"/>
      <c r="D72" s="45" t="s">
        <v>6</v>
      </c>
      <c r="E72" s="46"/>
      <c r="F72" s="47"/>
      <c r="G72" s="48"/>
      <c r="H72" s="48">
        <f>SUM(H65:H71)</f>
        <v>1688.32466</v>
      </c>
      <c r="I72" s="48"/>
      <c r="J72" s="48">
        <f>SUM(J65:J71)</f>
        <v>11658.086</v>
      </c>
      <c r="K72" s="49"/>
      <c r="L72" s="48">
        <f>SUM(L65:L71)</f>
        <v>29263.7323</v>
      </c>
      <c r="M72" s="50">
        <f>H72+J72+L72</f>
        <v>42610.14296</v>
      </c>
      <c r="N72" s="27"/>
    </row>
    <row r="73" spans="2:14" ht="12.75">
      <c r="B73" s="25"/>
      <c r="C73" s="54"/>
      <c r="D73" s="25"/>
      <c r="E73" s="25"/>
      <c r="F73" s="26"/>
      <c r="G73" s="27"/>
      <c r="H73" s="28"/>
      <c r="I73" s="27"/>
      <c r="J73" s="28"/>
      <c r="K73" s="27"/>
      <c r="L73" s="28"/>
      <c r="M73" s="27"/>
      <c r="N73" s="27"/>
    </row>
    <row r="74" spans="2:14" s="14" customFormat="1" ht="12.75">
      <c r="B74" s="31" t="s">
        <v>230</v>
      </c>
      <c r="C74" s="31"/>
      <c r="D74" s="31" t="s">
        <v>239</v>
      </c>
      <c r="E74" s="31"/>
      <c r="F74" s="32"/>
      <c r="G74" s="33"/>
      <c r="H74" s="33"/>
      <c r="I74" s="33"/>
      <c r="J74" s="33"/>
      <c r="K74" s="33"/>
      <c r="L74" s="34"/>
      <c r="M74" s="33"/>
      <c r="N74" s="27"/>
    </row>
    <row r="75" spans="1:14" ht="12.75">
      <c r="A75" s="77"/>
      <c r="B75" s="76" t="s">
        <v>231</v>
      </c>
      <c r="C75" s="36">
        <v>73610</v>
      </c>
      <c r="D75" s="35" t="s">
        <v>261</v>
      </c>
      <c r="E75" s="36" t="s">
        <v>33</v>
      </c>
      <c r="F75" s="37">
        <v>236.5</v>
      </c>
      <c r="G75" s="38">
        <v>0.31</v>
      </c>
      <c r="H75" s="38">
        <f aca="true" t="shared" si="30" ref="H75:H82">G75*F75</f>
        <v>73.315</v>
      </c>
      <c r="I75" s="38">
        <v>0</v>
      </c>
      <c r="J75" s="38">
        <f aca="true" t="shared" si="31" ref="J75:J82">I75*F75</f>
        <v>0</v>
      </c>
      <c r="K75" s="38">
        <v>7.5</v>
      </c>
      <c r="L75" s="39">
        <f aca="true" t="shared" si="32" ref="L75:L82">K75*F75</f>
        <v>1773.75</v>
      </c>
      <c r="M75" s="38">
        <f aca="true" t="shared" si="33" ref="M75:M82">L75+J75+H75</f>
        <v>1847.065</v>
      </c>
      <c r="N75" s="51">
        <f aca="true" t="shared" si="34" ref="N75:N82">G75+I75+K75</f>
        <v>7.81</v>
      </c>
    </row>
    <row r="76" spans="1:14" ht="24">
      <c r="A76" s="77"/>
      <c r="B76" s="82" t="s">
        <v>232</v>
      </c>
      <c r="C76" s="88" t="s">
        <v>85</v>
      </c>
      <c r="D76" s="100" t="s">
        <v>86</v>
      </c>
      <c r="E76" s="88" t="s">
        <v>15</v>
      </c>
      <c r="F76" s="101">
        <f>(F82*1.6*1.6*1.6)+(F75*0.4*1.5)</f>
        <v>158.28400000000002</v>
      </c>
      <c r="G76" s="102">
        <v>0.3</v>
      </c>
      <c r="H76" s="102">
        <f t="shared" si="30"/>
        <v>47.485200000000006</v>
      </c>
      <c r="I76" s="102">
        <v>0</v>
      </c>
      <c r="J76" s="102">
        <f t="shared" si="31"/>
        <v>0</v>
      </c>
      <c r="K76" s="102">
        <v>7.33</v>
      </c>
      <c r="L76" s="103">
        <f t="shared" si="32"/>
        <v>1160.2217200000002</v>
      </c>
      <c r="M76" s="102">
        <f t="shared" si="33"/>
        <v>1207.7069200000003</v>
      </c>
      <c r="N76" s="97">
        <f t="shared" si="34"/>
        <v>7.63</v>
      </c>
    </row>
    <row r="77" spans="1:14" ht="12.75">
      <c r="A77" s="77"/>
      <c r="B77" s="76" t="s">
        <v>233</v>
      </c>
      <c r="C77" s="36" t="s">
        <v>77</v>
      </c>
      <c r="D77" s="35" t="s">
        <v>76</v>
      </c>
      <c r="E77" s="36" t="s">
        <v>15</v>
      </c>
      <c r="F77" s="37">
        <f>F76*0.65</f>
        <v>102.88460000000002</v>
      </c>
      <c r="G77" s="38">
        <v>1.04</v>
      </c>
      <c r="H77" s="38">
        <f t="shared" si="30"/>
        <v>106.99998400000003</v>
      </c>
      <c r="I77" s="38">
        <v>0</v>
      </c>
      <c r="J77" s="38">
        <f t="shared" si="31"/>
        <v>0</v>
      </c>
      <c r="K77" s="38">
        <v>25.05</v>
      </c>
      <c r="L77" s="39">
        <f t="shared" si="32"/>
        <v>2577.2592300000006</v>
      </c>
      <c r="M77" s="38">
        <f t="shared" si="33"/>
        <v>2684.2592140000006</v>
      </c>
      <c r="N77" s="51">
        <f t="shared" si="34"/>
        <v>26.09</v>
      </c>
    </row>
    <row r="78" spans="1:14" ht="12.75">
      <c r="A78" s="77"/>
      <c r="B78" s="82" t="s">
        <v>234</v>
      </c>
      <c r="C78" s="36" t="s">
        <v>60</v>
      </c>
      <c r="D78" s="35" t="s">
        <v>59</v>
      </c>
      <c r="E78" s="36" t="s">
        <v>15</v>
      </c>
      <c r="F78" s="37">
        <f>F76-F77</f>
        <v>55.3994</v>
      </c>
      <c r="G78" s="38">
        <v>0.35</v>
      </c>
      <c r="H78" s="38">
        <f t="shared" si="30"/>
        <v>19.389789999999998</v>
      </c>
      <c r="I78" s="38">
        <v>0</v>
      </c>
      <c r="J78" s="38">
        <f t="shared" si="31"/>
        <v>0</v>
      </c>
      <c r="K78" s="38">
        <v>8.53</v>
      </c>
      <c r="L78" s="39">
        <f t="shared" si="32"/>
        <v>472.556882</v>
      </c>
      <c r="M78" s="38">
        <f t="shared" si="33"/>
        <v>491.946672</v>
      </c>
      <c r="N78" s="51">
        <f t="shared" si="34"/>
        <v>8.879999999999999</v>
      </c>
    </row>
    <row r="79" spans="2:14" ht="12.75">
      <c r="B79" s="76" t="s">
        <v>235</v>
      </c>
      <c r="C79" s="36" t="s">
        <v>61</v>
      </c>
      <c r="D79" s="35" t="s">
        <v>34</v>
      </c>
      <c r="E79" s="36" t="s">
        <v>15</v>
      </c>
      <c r="F79" s="37">
        <f>F78</f>
        <v>55.3994</v>
      </c>
      <c r="G79" s="38">
        <v>0.1</v>
      </c>
      <c r="H79" s="38">
        <f t="shared" si="30"/>
        <v>5.5399400000000005</v>
      </c>
      <c r="I79" s="38">
        <v>0</v>
      </c>
      <c r="J79" s="38">
        <f t="shared" si="31"/>
        <v>0</v>
      </c>
      <c r="K79" s="38">
        <v>2.47</v>
      </c>
      <c r="L79" s="39">
        <f t="shared" si="32"/>
        <v>136.836518</v>
      </c>
      <c r="M79" s="38">
        <f t="shared" si="33"/>
        <v>142.376458</v>
      </c>
      <c r="N79" s="51">
        <f t="shared" si="34"/>
        <v>2.5700000000000003</v>
      </c>
    </row>
    <row r="80" spans="2:14" ht="12.75">
      <c r="B80" s="82" t="s">
        <v>236</v>
      </c>
      <c r="C80" s="36" t="s">
        <v>72</v>
      </c>
      <c r="D80" s="35" t="s">
        <v>256</v>
      </c>
      <c r="E80" s="36" t="s">
        <v>15</v>
      </c>
      <c r="F80" s="106">
        <f>F75*1*0.2</f>
        <v>47.300000000000004</v>
      </c>
      <c r="G80" s="38">
        <v>0.59</v>
      </c>
      <c r="H80" s="38">
        <f t="shared" si="30"/>
        <v>27.907</v>
      </c>
      <c r="I80" s="38">
        <v>0</v>
      </c>
      <c r="J80" s="38">
        <f t="shared" si="31"/>
        <v>0</v>
      </c>
      <c r="K80" s="38">
        <v>14.19</v>
      </c>
      <c r="L80" s="39">
        <f t="shared" si="32"/>
        <v>671.187</v>
      </c>
      <c r="M80" s="38">
        <f t="shared" si="33"/>
        <v>699.094</v>
      </c>
      <c r="N80" s="51">
        <f t="shared" si="34"/>
        <v>14.78</v>
      </c>
    </row>
    <row r="81" spans="1:14" ht="27" customHeight="1">
      <c r="A81" s="77"/>
      <c r="B81" s="82" t="s">
        <v>237</v>
      </c>
      <c r="C81" s="88"/>
      <c r="D81" s="100" t="s">
        <v>262</v>
      </c>
      <c r="E81" s="88" t="s">
        <v>33</v>
      </c>
      <c r="F81" s="101">
        <f>F75</f>
        <v>236.5</v>
      </c>
      <c r="G81" s="102">
        <v>3.6</v>
      </c>
      <c r="H81" s="102">
        <f t="shared" si="30"/>
        <v>851.4</v>
      </c>
      <c r="I81" s="102">
        <v>32.51</v>
      </c>
      <c r="J81" s="102">
        <f t="shared" si="31"/>
        <v>7688.615</v>
      </c>
      <c r="K81" s="102">
        <v>54.79</v>
      </c>
      <c r="L81" s="103">
        <f t="shared" si="32"/>
        <v>12957.835</v>
      </c>
      <c r="M81" s="102">
        <f t="shared" si="33"/>
        <v>21497.85</v>
      </c>
      <c r="N81" s="97">
        <f t="shared" si="34"/>
        <v>90.9</v>
      </c>
    </row>
    <row r="82" spans="2:14" ht="13.5" thickBot="1">
      <c r="B82" s="82" t="s">
        <v>238</v>
      </c>
      <c r="C82" s="36"/>
      <c r="D82" s="35" t="s">
        <v>263</v>
      </c>
      <c r="E82" s="36" t="s">
        <v>55</v>
      </c>
      <c r="F82" s="37">
        <v>4</v>
      </c>
      <c r="G82" s="38">
        <v>54.52</v>
      </c>
      <c r="H82" s="38">
        <f t="shared" si="30"/>
        <v>218.08</v>
      </c>
      <c r="I82" s="38">
        <v>491.34</v>
      </c>
      <c r="J82" s="38">
        <f t="shared" si="31"/>
        <v>1965.36</v>
      </c>
      <c r="K82" s="38">
        <v>828.1</v>
      </c>
      <c r="L82" s="39">
        <f t="shared" si="32"/>
        <v>3312.4</v>
      </c>
      <c r="M82" s="38">
        <f t="shared" si="33"/>
        <v>5495.84</v>
      </c>
      <c r="N82" s="51">
        <f t="shared" si="34"/>
        <v>1373.96</v>
      </c>
    </row>
    <row r="83" spans="2:14" s="14" customFormat="1" ht="13.5" thickBot="1">
      <c r="B83" s="44"/>
      <c r="C83" s="86"/>
      <c r="D83" s="45" t="s">
        <v>6</v>
      </c>
      <c r="E83" s="46"/>
      <c r="F83" s="47"/>
      <c r="G83" s="48"/>
      <c r="H83" s="48">
        <f>SUM(H75:H82)</f>
        <v>1350.116914</v>
      </c>
      <c r="I83" s="48"/>
      <c r="J83" s="48">
        <f>SUM(J75:J82)</f>
        <v>9653.975</v>
      </c>
      <c r="K83" s="49"/>
      <c r="L83" s="48">
        <f>SUM(L75:L82)</f>
        <v>23062.04635</v>
      </c>
      <c r="M83" s="50">
        <f>H83+J83+L83</f>
        <v>34066.138264</v>
      </c>
      <c r="N83" s="27"/>
    </row>
    <row r="84" spans="2:14" ht="12.75">
      <c r="B84" s="25"/>
      <c r="C84" s="54"/>
      <c r="D84" s="25"/>
      <c r="E84" s="25"/>
      <c r="F84" s="26"/>
      <c r="G84" s="27"/>
      <c r="H84" s="28"/>
      <c r="I84" s="27"/>
      <c r="J84" s="28"/>
      <c r="K84" s="27"/>
      <c r="L84" s="28"/>
      <c r="M84" s="27"/>
      <c r="N84" s="27"/>
    </row>
    <row r="85" spans="2:14" s="14" customFormat="1" ht="12.75">
      <c r="B85" s="31" t="s">
        <v>240</v>
      </c>
      <c r="C85" s="31"/>
      <c r="D85" s="31" t="s">
        <v>249</v>
      </c>
      <c r="E85" s="31"/>
      <c r="F85" s="32"/>
      <c r="G85" s="33"/>
      <c r="H85" s="33"/>
      <c r="I85" s="33"/>
      <c r="J85" s="33"/>
      <c r="K85" s="33"/>
      <c r="L85" s="34"/>
      <c r="M85" s="33"/>
      <c r="N85" s="27"/>
    </row>
    <row r="86" spans="1:14" ht="12.75">
      <c r="A86" s="77"/>
      <c r="B86" s="76" t="s">
        <v>241</v>
      </c>
      <c r="C86" s="36">
        <v>73610</v>
      </c>
      <c r="D86" s="35" t="s">
        <v>261</v>
      </c>
      <c r="E86" s="36" t="s">
        <v>33</v>
      </c>
      <c r="F86" s="37">
        <v>173</v>
      </c>
      <c r="G86" s="38">
        <v>0.31</v>
      </c>
      <c r="H86" s="38">
        <f aca="true" t="shared" si="35" ref="H86:H93">G86*F86</f>
        <v>53.63</v>
      </c>
      <c r="I86" s="38">
        <v>0</v>
      </c>
      <c r="J86" s="38">
        <f aca="true" t="shared" si="36" ref="J86:J93">I86*F86</f>
        <v>0</v>
      </c>
      <c r="K86" s="38">
        <v>7.5</v>
      </c>
      <c r="L86" s="39">
        <f aca="true" t="shared" si="37" ref="L86:L93">K86*F86</f>
        <v>1297.5</v>
      </c>
      <c r="M86" s="38">
        <f aca="true" t="shared" si="38" ref="M86:M93">L86+J86+H86</f>
        <v>1351.13</v>
      </c>
      <c r="N86" s="51">
        <f aca="true" t="shared" si="39" ref="N86:N93">G86+I86+K86</f>
        <v>7.81</v>
      </c>
    </row>
    <row r="87" spans="1:14" ht="24">
      <c r="A87" s="77"/>
      <c r="B87" s="82" t="s">
        <v>242</v>
      </c>
      <c r="C87" s="88" t="s">
        <v>85</v>
      </c>
      <c r="D87" s="100" t="s">
        <v>86</v>
      </c>
      <c r="E87" s="88" t="s">
        <v>15</v>
      </c>
      <c r="F87" s="101">
        <f>(F93*1.6*1.6*1.6)+(F86*0.4*1.5)</f>
        <v>128.37600000000003</v>
      </c>
      <c r="G87" s="102">
        <v>0.3</v>
      </c>
      <c r="H87" s="102">
        <f t="shared" si="35"/>
        <v>38.512800000000006</v>
      </c>
      <c r="I87" s="102">
        <v>0</v>
      </c>
      <c r="J87" s="102">
        <f t="shared" si="36"/>
        <v>0</v>
      </c>
      <c r="K87" s="102">
        <v>7.33</v>
      </c>
      <c r="L87" s="103">
        <f t="shared" si="37"/>
        <v>940.9960800000002</v>
      </c>
      <c r="M87" s="102">
        <f t="shared" si="38"/>
        <v>979.5088800000002</v>
      </c>
      <c r="N87" s="97">
        <f t="shared" si="39"/>
        <v>7.63</v>
      </c>
    </row>
    <row r="88" spans="1:14" ht="12.75">
      <c r="A88" s="77"/>
      <c r="B88" s="76" t="s">
        <v>243</v>
      </c>
      <c r="C88" s="36" t="s">
        <v>77</v>
      </c>
      <c r="D88" s="35" t="s">
        <v>76</v>
      </c>
      <c r="E88" s="36" t="s">
        <v>15</v>
      </c>
      <c r="F88" s="37">
        <f>F87*0.65</f>
        <v>83.44440000000003</v>
      </c>
      <c r="G88" s="38">
        <v>1.04</v>
      </c>
      <c r="H88" s="38">
        <f t="shared" si="35"/>
        <v>86.78217600000004</v>
      </c>
      <c r="I88" s="38">
        <v>0</v>
      </c>
      <c r="J88" s="38">
        <f t="shared" si="36"/>
        <v>0</v>
      </c>
      <c r="K88" s="38">
        <v>25.05</v>
      </c>
      <c r="L88" s="39">
        <f t="shared" si="37"/>
        <v>2090.282220000001</v>
      </c>
      <c r="M88" s="38">
        <f t="shared" si="38"/>
        <v>2177.064396000001</v>
      </c>
      <c r="N88" s="51">
        <f t="shared" si="39"/>
        <v>26.09</v>
      </c>
    </row>
    <row r="89" spans="1:14" ht="12.75">
      <c r="A89" s="77"/>
      <c r="B89" s="82" t="s">
        <v>244</v>
      </c>
      <c r="C89" s="36" t="s">
        <v>60</v>
      </c>
      <c r="D89" s="35" t="s">
        <v>59</v>
      </c>
      <c r="E89" s="36" t="s">
        <v>15</v>
      </c>
      <c r="F89" s="37">
        <f>F87-F88</f>
        <v>44.9316</v>
      </c>
      <c r="G89" s="38">
        <v>0.35</v>
      </c>
      <c r="H89" s="38">
        <f t="shared" si="35"/>
        <v>15.72606</v>
      </c>
      <c r="I89" s="38">
        <v>0</v>
      </c>
      <c r="J89" s="38">
        <f t="shared" si="36"/>
        <v>0</v>
      </c>
      <c r="K89" s="38">
        <v>8.53</v>
      </c>
      <c r="L89" s="39">
        <f t="shared" si="37"/>
        <v>383.266548</v>
      </c>
      <c r="M89" s="38">
        <f t="shared" si="38"/>
        <v>398.992608</v>
      </c>
      <c r="N89" s="51">
        <f t="shared" si="39"/>
        <v>8.879999999999999</v>
      </c>
    </row>
    <row r="90" spans="2:14" ht="12.75">
      <c r="B90" s="76" t="s">
        <v>245</v>
      </c>
      <c r="C90" s="36" t="s">
        <v>61</v>
      </c>
      <c r="D90" s="35" t="s">
        <v>34</v>
      </c>
      <c r="E90" s="36" t="s">
        <v>15</v>
      </c>
      <c r="F90" s="37">
        <f>F89</f>
        <v>44.9316</v>
      </c>
      <c r="G90" s="38">
        <v>0.1</v>
      </c>
      <c r="H90" s="38">
        <f t="shared" si="35"/>
        <v>4.4931600000000005</v>
      </c>
      <c r="I90" s="38">
        <v>0</v>
      </c>
      <c r="J90" s="38">
        <f t="shared" si="36"/>
        <v>0</v>
      </c>
      <c r="K90" s="38">
        <v>2.47</v>
      </c>
      <c r="L90" s="39">
        <f t="shared" si="37"/>
        <v>110.98105200000002</v>
      </c>
      <c r="M90" s="38">
        <f t="shared" si="38"/>
        <v>115.47421200000002</v>
      </c>
      <c r="N90" s="51">
        <f t="shared" si="39"/>
        <v>2.5700000000000003</v>
      </c>
    </row>
    <row r="91" spans="2:14" ht="12.75">
      <c r="B91" s="82" t="s">
        <v>246</v>
      </c>
      <c r="C91" s="36" t="s">
        <v>72</v>
      </c>
      <c r="D91" s="35" t="s">
        <v>256</v>
      </c>
      <c r="E91" s="36" t="s">
        <v>15</v>
      </c>
      <c r="F91" s="106">
        <f>F86*1*0.2</f>
        <v>34.6</v>
      </c>
      <c r="G91" s="38">
        <v>0.59</v>
      </c>
      <c r="H91" s="38">
        <f t="shared" si="35"/>
        <v>20.414</v>
      </c>
      <c r="I91" s="38">
        <v>0</v>
      </c>
      <c r="J91" s="38">
        <f t="shared" si="36"/>
        <v>0</v>
      </c>
      <c r="K91" s="38">
        <v>14.19</v>
      </c>
      <c r="L91" s="39">
        <f t="shared" si="37"/>
        <v>490.974</v>
      </c>
      <c r="M91" s="38">
        <f t="shared" si="38"/>
        <v>511.388</v>
      </c>
      <c r="N91" s="51">
        <f t="shared" si="39"/>
        <v>14.78</v>
      </c>
    </row>
    <row r="92" spans="1:14" ht="27" customHeight="1">
      <c r="A92" s="77"/>
      <c r="B92" s="82" t="s">
        <v>247</v>
      </c>
      <c r="C92" s="88"/>
      <c r="D92" s="100" t="s">
        <v>262</v>
      </c>
      <c r="E92" s="88" t="s">
        <v>33</v>
      </c>
      <c r="F92" s="101">
        <f>F86</f>
        <v>173</v>
      </c>
      <c r="G92" s="102">
        <v>3.6</v>
      </c>
      <c r="H92" s="102">
        <f t="shared" si="35"/>
        <v>622.8000000000001</v>
      </c>
      <c r="I92" s="102">
        <v>32.51</v>
      </c>
      <c r="J92" s="102">
        <f t="shared" si="36"/>
        <v>5624.23</v>
      </c>
      <c r="K92" s="102">
        <v>54.79</v>
      </c>
      <c r="L92" s="103">
        <f t="shared" si="37"/>
        <v>9478.67</v>
      </c>
      <c r="M92" s="102">
        <f t="shared" si="38"/>
        <v>15725.699999999999</v>
      </c>
      <c r="N92" s="97">
        <f t="shared" si="39"/>
        <v>90.9</v>
      </c>
    </row>
    <row r="93" spans="2:14" ht="13.5" thickBot="1">
      <c r="B93" s="82" t="s">
        <v>248</v>
      </c>
      <c r="C93" s="36"/>
      <c r="D93" s="35" t="s">
        <v>263</v>
      </c>
      <c r="E93" s="36" t="s">
        <v>55</v>
      </c>
      <c r="F93" s="37">
        <v>6</v>
      </c>
      <c r="G93" s="38">
        <v>54.52</v>
      </c>
      <c r="H93" s="38">
        <f t="shared" si="35"/>
        <v>327.12</v>
      </c>
      <c r="I93" s="38">
        <v>491.34</v>
      </c>
      <c r="J93" s="38">
        <f t="shared" si="36"/>
        <v>2948.04</v>
      </c>
      <c r="K93" s="38">
        <v>828.1</v>
      </c>
      <c r="L93" s="39">
        <f t="shared" si="37"/>
        <v>4968.6</v>
      </c>
      <c r="M93" s="38">
        <f t="shared" si="38"/>
        <v>8243.76</v>
      </c>
      <c r="N93" s="51">
        <f t="shared" si="39"/>
        <v>1373.96</v>
      </c>
    </row>
    <row r="94" spans="2:14" s="14" customFormat="1" ht="13.5" thickBot="1">
      <c r="B94" s="44"/>
      <c r="C94" s="86"/>
      <c r="D94" s="45" t="s">
        <v>6</v>
      </c>
      <c r="E94" s="46"/>
      <c r="F94" s="47"/>
      <c r="G94" s="48"/>
      <c r="H94" s="48">
        <f>SUM(H86:H93)</f>
        <v>1169.478196</v>
      </c>
      <c r="I94" s="48"/>
      <c r="J94" s="48">
        <f>SUM(J86:J93)</f>
        <v>8572.27</v>
      </c>
      <c r="K94" s="49"/>
      <c r="L94" s="48">
        <f>SUM(L86:L93)</f>
        <v>19761.2699</v>
      </c>
      <c r="M94" s="50">
        <f>H94+J94+L94</f>
        <v>29503.018096</v>
      </c>
      <c r="N94" s="27"/>
    </row>
    <row r="95" spans="2:14" ht="12.75">
      <c r="B95" s="25"/>
      <c r="C95" s="54"/>
      <c r="D95" s="25"/>
      <c r="E95" s="25"/>
      <c r="F95" s="26"/>
      <c r="G95" s="27"/>
      <c r="H95" s="28"/>
      <c r="I95" s="27"/>
      <c r="J95" s="28"/>
      <c r="K95" s="27"/>
      <c r="L95" s="28"/>
      <c r="M95" s="27"/>
      <c r="N95" s="27"/>
    </row>
    <row r="96" spans="2:14" s="14" customFormat="1" ht="12.75">
      <c r="B96" s="31" t="s">
        <v>250</v>
      </c>
      <c r="C96" s="31"/>
      <c r="D96" s="31" t="s">
        <v>279</v>
      </c>
      <c r="E96" s="31"/>
      <c r="F96" s="32"/>
      <c r="G96" s="33"/>
      <c r="H96" s="33"/>
      <c r="I96" s="33"/>
      <c r="J96" s="33"/>
      <c r="K96" s="33"/>
      <c r="L96" s="34"/>
      <c r="M96" s="33"/>
      <c r="N96" s="27"/>
    </row>
    <row r="97" spans="1:14" ht="12.75">
      <c r="A97" s="77"/>
      <c r="B97" s="76" t="s">
        <v>251</v>
      </c>
      <c r="C97" s="36">
        <v>73610</v>
      </c>
      <c r="D97" s="35" t="s">
        <v>261</v>
      </c>
      <c r="E97" s="36" t="s">
        <v>33</v>
      </c>
      <c r="F97" s="37">
        <v>604.9</v>
      </c>
      <c r="G97" s="38">
        <v>0.31</v>
      </c>
      <c r="H97" s="38">
        <f aca="true" t="shared" si="40" ref="H97:H104">G97*F97</f>
        <v>187.519</v>
      </c>
      <c r="I97" s="38">
        <v>0</v>
      </c>
      <c r="J97" s="38">
        <f aca="true" t="shared" si="41" ref="J97:J104">I97*F97</f>
        <v>0</v>
      </c>
      <c r="K97" s="38">
        <v>7.5</v>
      </c>
      <c r="L97" s="39">
        <f aca="true" t="shared" si="42" ref="L97:L104">K97*F97</f>
        <v>4536.75</v>
      </c>
      <c r="M97" s="38">
        <f aca="true" t="shared" si="43" ref="M97:M104">L97+J97+H97</f>
        <v>4724.269</v>
      </c>
      <c r="N97" s="51">
        <f aca="true" t="shared" si="44" ref="N97:N104">G97+I97+K97</f>
        <v>7.81</v>
      </c>
    </row>
    <row r="98" spans="1:14" ht="24">
      <c r="A98" s="77"/>
      <c r="B98" s="82" t="s">
        <v>252</v>
      </c>
      <c r="C98" s="88" t="s">
        <v>85</v>
      </c>
      <c r="D98" s="100" t="s">
        <v>86</v>
      </c>
      <c r="E98" s="88" t="s">
        <v>15</v>
      </c>
      <c r="F98" s="101">
        <f>(F104*1.6*1.6*1.6)+(F97*0.4*1.5)</f>
        <v>399.804</v>
      </c>
      <c r="G98" s="102">
        <v>0.3</v>
      </c>
      <c r="H98" s="102">
        <f t="shared" si="40"/>
        <v>119.94119999999998</v>
      </c>
      <c r="I98" s="102">
        <v>0</v>
      </c>
      <c r="J98" s="102">
        <f t="shared" si="41"/>
        <v>0</v>
      </c>
      <c r="K98" s="102">
        <v>7.33</v>
      </c>
      <c r="L98" s="103">
        <f t="shared" si="42"/>
        <v>2930.5633199999997</v>
      </c>
      <c r="M98" s="102">
        <f t="shared" si="43"/>
        <v>3050.5045199999995</v>
      </c>
      <c r="N98" s="97">
        <f t="shared" si="44"/>
        <v>7.63</v>
      </c>
    </row>
    <row r="99" spans="1:14" ht="12.75">
      <c r="A99" s="77"/>
      <c r="B99" s="76" t="s">
        <v>280</v>
      </c>
      <c r="C99" s="36" t="s">
        <v>77</v>
      </c>
      <c r="D99" s="35" t="s">
        <v>76</v>
      </c>
      <c r="E99" s="36" t="s">
        <v>15</v>
      </c>
      <c r="F99" s="37">
        <f>F98*0.65</f>
        <v>259.8726</v>
      </c>
      <c r="G99" s="38">
        <v>1.04</v>
      </c>
      <c r="H99" s="38">
        <f t="shared" si="40"/>
        <v>270.267504</v>
      </c>
      <c r="I99" s="38">
        <v>0</v>
      </c>
      <c r="J99" s="38">
        <f t="shared" si="41"/>
        <v>0</v>
      </c>
      <c r="K99" s="38">
        <v>25.05</v>
      </c>
      <c r="L99" s="39">
        <f t="shared" si="42"/>
        <v>6509.8086299999995</v>
      </c>
      <c r="M99" s="38">
        <f t="shared" si="43"/>
        <v>6780.076134</v>
      </c>
      <c r="N99" s="51">
        <f t="shared" si="44"/>
        <v>26.09</v>
      </c>
    </row>
    <row r="100" spans="1:14" ht="12.75">
      <c r="A100" s="77"/>
      <c r="B100" s="82" t="s">
        <v>281</v>
      </c>
      <c r="C100" s="36" t="s">
        <v>60</v>
      </c>
      <c r="D100" s="35" t="s">
        <v>59</v>
      </c>
      <c r="E100" s="36" t="s">
        <v>15</v>
      </c>
      <c r="F100" s="37">
        <f>F98-F99</f>
        <v>139.9314</v>
      </c>
      <c r="G100" s="38">
        <v>0.35</v>
      </c>
      <c r="H100" s="38">
        <f t="shared" si="40"/>
        <v>48.975989999999996</v>
      </c>
      <c r="I100" s="38">
        <v>0</v>
      </c>
      <c r="J100" s="38">
        <f t="shared" si="41"/>
        <v>0</v>
      </c>
      <c r="K100" s="38">
        <v>8.53</v>
      </c>
      <c r="L100" s="39">
        <f t="shared" si="42"/>
        <v>1193.614842</v>
      </c>
      <c r="M100" s="38">
        <f t="shared" si="43"/>
        <v>1242.5908319999999</v>
      </c>
      <c r="N100" s="51">
        <f t="shared" si="44"/>
        <v>8.879999999999999</v>
      </c>
    </row>
    <row r="101" spans="2:14" ht="12.75">
      <c r="B101" s="76" t="s">
        <v>282</v>
      </c>
      <c r="C101" s="36" t="s">
        <v>61</v>
      </c>
      <c r="D101" s="35" t="s">
        <v>34</v>
      </c>
      <c r="E101" s="36" t="s">
        <v>15</v>
      </c>
      <c r="F101" s="37">
        <f>F100</f>
        <v>139.9314</v>
      </c>
      <c r="G101" s="38">
        <v>0.1</v>
      </c>
      <c r="H101" s="38">
        <f t="shared" si="40"/>
        <v>13.99314</v>
      </c>
      <c r="I101" s="38">
        <v>0</v>
      </c>
      <c r="J101" s="38">
        <f t="shared" si="41"/>
        <v>0</v>
      </c>
      <c r="K101" s="38">
        <v>2.47</v>
      </c>
      <c r="L101" s="39">
        <f t="shared" si="42"/>
        <v>345.630558</v>
      </c>
      <c r="M101" s="38">
        <f t="shared" si="43"/>
        <v>359.623698</v>
      </c>
      <c r="N101" s="51">
        <f t="shared" si="44"/>
        <v>2.5700000000000003</v>
      </c>
    </row>
    <row r="102" spans="2:14" ht="12.75">
      <c r="B102" s="82" t="s">
        <v>283</v>
      </c>
      <c r="C102" s="36" t="s">
        <v>72</v>
      </c>
      <c r="D102" s="35" t="s">
        <v>256</v>
      </c>
      <c r="E102" s="36" t="s">
        <v>15</v>
      </c>
      <c r="F102" s="106">
        <f>F97*1*0.2</f>
        <v>120.98</v>
      </c>
      <c r="G102" s="38">
        <v>0.59</v>
      </c>
      <c r="H102" s="38">
        <f t="shared" si="40"/>
        <v>71.37819999999999</v>
      </c>
      <c r="I102" s="38">
        <v>0</v>
      </c>
      <c r="J102" s="38">
        <f t="shared" si="41"/>
        <v>0</v>
      </c>
      <c r="K102" s="38">
        <v>14.19</v>
      </c>
      <c r="L102" s="39">
        <f t="shared" si="42"/>
        <v>1716.7062</v>
      </c>
      <c r="M102" s="38">
        <f t="shared" si="43"/>
        <v>1788.0844000000002</v>
      </c>
      <c r="N102" s="51">
        <f t="shared" si="44"/>
        <v>14.78</v>
      </c>
    </row>
    <row r="103" spans="1:14" ht="27" customHeight="1">
      <c r="A103" s="77"/>
      <c r="B103" s="82" t="s">
        <v>284</v>
      </c>
      <c r="C103" s="88"/>
      <c r="D103" s="100" t="s">
        <v>262</v>
      </c>
      <c r="E103" s="88" t="s">
        <v>33</v>
      </c>
      <c r="F103" s="101">
        <f>F97</f>
        <v>604.9</v>
      </c>
      <c r="G103" s="102">
        <v>3.6</v>
      </c>
      <c r="H103" s="102">
        <f t="shared" si="40"/>
        <v>2177.64</v>
      </c>
      <c r="I103" s="102">
        <v>32.51</v>
      </c>
      <c r="J103" s="102">
        <f t="shared" si="41"/>
        <v>19665.299</v>
      </c>
      <c r="K103" s="102">
        <v>54.79</v>
      </c>
      <c r="L103" s="103">
        <f t="shared" si="42"/>
        <v>33142.471</v>
      </c>
      <c r="M103" s="102">
        <f t="shared" si="43"/>
        <v>54985.409999999996</v>
      </c>
      <c r="N103" s="97">
        <f t="shared" si="44"/>
        <v>90.9</v>
      </c>
    </row>
    <row r="104" spans="2:14" ht="13.5" thickBot="1">
      <c r="B104" s="82" t="s">
        <v>285</v>
      </c>
      <c r="C104" s="36"/>
      <c r="D104" s="35" t="s">
        <v>263</v>
      </c>
      <c r="E104" s="36" t="s">
        <v>55</v>
      </c>
      <c r="F104" s="37">
        <v>9</v>
      </c>
      <c r="G104" s="38">
        <v>54.52</v>
      </c>
      <c r="H104" s="38">
        <f t="shared" si="40"/>
        <v>490.68</v>
      </c>
      <c r="I104" s="38">
        <v>491.34</v>
      </c>
      <c r="J104" s="38">
        <f t="shared" si="41"/>
        <v>4422.0599999999995</v>
      </c>
      <c r="K104" s="38">
        <v>828.1</v>
      </c>
      <c r="L104" s="39">
        <f t="shared" si="42"/>
        <v>7452.900000000001</v>
      </c>
      <c r="M104" s="38">
        <f t="shared" si="43"/>
        <v>12365.64</v>
      </c>
      <c r="N104" s="51">
        <f t="shared" si="44"/>
        <v>1373.96</v>
      </c>
    </row>
    <row r="105" spans="2:14" s="14" customFormat="1" ht="13.5" thickBot="1">
      <c r="B105" s="44"/>
      <c r="C105" s="86"/>
      <c r="D105" s="45" t="s">
        <v>6</v>
      </c>
      <c r="E105" s="46"/>
      <c r="F105" s="47"/>
      <c r="G105" s="48"/>
      <c r="H105" s="48">
        <f>SUM(H97:H104)</f>
        <v>3380.3950339999997</v>
      </c>
      <c r="I105" s="48"/>
      <c r="J105" s="48">
        <f>SUM(J97:J104)</f>
        <v>24087.358999999997</v>
      </c>
      <c r="K105" s="49"/>
      <c r="L105" s="48">
        <f>SUM(L97:L104)</f>
        <v>57828.44455</v>
      </c>
      <c r="M105" s="50">
        <f>H105+J105+L105</f>
        <v>85296.198584</v>
      </c>
      <c r="N105" s="27"/>
    </row>
    <row r="106" spans="2:14" ht="12.75">
      <c r="B106" s="25"/>
      <c r="C106" s="54"/>
      <c r="D106" s="25"/>
      <c r="E106" s="25"/>
      <c r="F106" s="26"/>
      <c r="G106" s="27"/>
      <c r="H106" s="28"/>
      <c r="I106" s="27"/>
      <c r="J106" s="28"/>
      <c r="K106" s="27"/>
      <c r="L106" s="28"/>
      <c r="M106" s="27"/>
      <c r="N106" s="27"/>
    </row>
    <row r="107" spans="2:14" s="14" customFormat="1" ht="12.75">
      <c r="B107" s="31" t="s">
        <v>286</v>
      </c>
      <c r="C107" s="31"/>
      <c r="D107" s="31" t="s">
        <v>301</v>
      </c>
      <c r="E107" s="31"/>
      <c r="F107" s="32"/>
      <c r="G107" s="33"/>
      <c r="H107" s="33"/>
      <c r="I107" s="33"/>
      <c r="J107" s="33"/>
      <c r="K107" s="33"/>
      <c r="L107" s="34"/>
      <c r="M107" s="33"/>
      <c r="N107" s="27"/>
    </row>
    <row r="108" spans="1:14" ht="12.75">
      <c r="A108" s="77"/>
      <c r="B108" s="76" t="s">
        <v>287</v>
      </c>
      <c r="C108" s="36">
        <v>73610</v>
      </c>
      <c r="D108" s="35" t="s">
        <v>261</v>
      </c>
      <c r="E108" s="36" t="s">
        <v>33</v>
      </c>
      <c r="F108" s="37">
        <v>77</v>
      </c>
      <c r="G108" s="38">
        <v>0.31</v>
      </c>
      <c r="H108" s="38">
        <f aca="true" t="shared" si="45" ref="H108:H115">G108*F108</f>
        <v>23.87</v>
      </c>
      <c r="I108" s="38">
        <v>0</v>
      </c>
      <c r="J108" s="38">
        <f aca="true" t="shared" si="46" ref="J108:J115">I108*F108</f>
        <v>0</v>
      </c>
      <c r="K108" s="38">
        <v>7.5</v>
      </c>
      <c r="L108" s="39">
        <f aca="true" t="shared" si="47" ref="L108:L115">K108*F108</f>
        <v>577.5</v>
      </c>
      <c r="M108" s="38">
        <f aca="true" t="shared" si="48" ref="M108:M115">L108+J108+H108</f>
        <v>601.37</v>
      </c>
      <c r="N108" s="51">
        <f aca="true" t="shared" si="49" ref="N108:N115">G108+I108+K108</f>
        <v>7.81</v>
      </c>
    </row>
    <row r="109" spans="1:14" ht="24">
      <c r="A109" s="77"/>
      <c r="B109" s="82" t="s">
        <v>288</v>
      </c>
      <c r="C109" s="88" t="s">
        <v>85</v>
      </c>
      <c r="D109" s="100" t="s">
        <v>86</v>
      </c>
      <c r="E109" s="88" t="s">
        <v>15</v>
      </c>
      <c r="F109" s="101">
        <f>(F115*1.6*1.6*1.6)+(F108*0.4*1.5)</f>
        <v>54.392</v>
      </c>
      <c r="G109" s="102">
        <v>0.3</v>
      </c>
      <c r="H109" s="102">
        <f t="shared" si="45"/>
        <v>16.3176</v>
      </c>
      <c r="I109" s="102">
        <v>0</v>
      </c>
      <c r="J109" s="102">
        <f t="shared" si="46"/>
        <v>0</v>
      </c>
      <c r="K109" s="102">
        <v>7.33</v>
      </c>
      <c r="L109" s="103">
        <f t="shared" si="47"/>
        <v>398.69336000000004</v>
      </c>
      <c r="M109" s="102">
        <f t="shared" si="48"/>
        <v>415.01096000000007</v>
      </c>
      <c r="N109" s="97">
        <f t="shared" si="49"/>
        <v>7.63</v>
      </c>
    </row>
    <row r="110" spans="1:14" ht="12.75">
      <c r="A110" s="77"/>
      <c r="B110" s="76" t="s">
        <v>295</v>
      </c>
      <c r="C110" s="36" t="s">
        <v>77</v>
      </c>
      <c r="D110" s="35" t="s">
        <v>76</v>
      </c>
      <c r="E110" s="36" t="s">
        <v>15</v>
      </c>
      <c r="F110" s="37">
        <f>F109*0.65</f>
        <v>35.354800000000004</v>
      </c>
      <c r="G110" s="38">
        <v>1.04</v>
      </c>
      <c r="H110" s="38">
        <f t="shared" si="45"/>
        <v>36.768992000000004</v>
      </c>
      <c r="I110" s="38">
        <v>0</v>
      </c>
      <c r="J110" s="38">
        <f t="shared" si="46"/>
        <v>0</v>
      </c>
      <c r="K110" s="38">
        <v>25.05</v>
      </c>
      <c r="L110" s="39">
        <f t="shared" si="47"/>
        <v>885.6377400000001</v>
      </c>
      <c r="M110" s="38">
        <f t="shared" si="48"/>
        <v>922.4067320000001</v>
      </c>
      <c r="N110" s="51">
        <f t="shared" si="49"/>
        <v>26.09</v>
      </c>
    </row>
    <row r="111" spans="1:14" ht="12.75">
      <c r="A111" s="77"/>
      <c r="B111" s="82" t="s">
        <v>296</v>
      </c>
      <c r="C111" s="36" t="s">
        <v>60</v>
      </c>
      <c r="D111" s="35" t="s">
        <v>59</v>
      </c>
      <c r="E111" s="36" t="s">
        <v>15</v>
      </c>
      <c r="F111" s="37">
        <f>F109-F110</f>
        <v>19.0372</v>
      </c>
      <c r="G111" s="38">
        <v>0.35</v>
      </c>
      <c r="H111" s="38">
        <f t="shared" si="45"/>
        <v>6.6630199999999995</v>
      </c>
      <c r="I111" s="38">
        <v>0</v>
      </c>
      <c r="J111" s="38">
        <f t="shared" si="46"/>
        <v>0</v>
      </c>
      <c r="K111" s="38">
        <v>8.53</v>
      </c>
      <c r="L111" s="39">
        <f t="shared" si="47"/>
        <v>162.38731599999997</v>
      </c>
      <c r="M111" s="38">
        <f t="shared" si="48"/>
        <v>169.05033599999996</v>
      </c>
      <c r="N111" s="51">
        <f t="shared" si="49"/>
        <v>8.879999999999999</v>
      </c>
    </row>
    <row r="112" spans="2:14" ht="12.75">
      <c r="B112" s="76" t="s">
        <v>297</v>
      </c>
      <c r="C112" s="36" t="s">
        <v>61</v>
      </c>
      <c r="D112" s="35" t="s">
        <v>34</v>
      </c>
      <c r="E112" s="36" t="s">
        <v>15</v>
      </c>
      <c r="F112" s="37">
        <f>F111</f>
        <v>19.0372</v>
      </c>
      <c r="G112" s="38">
        <v>0.1</v>
      </c>
      <c r="H112" s="38">
        <f t="shared" si="45"/>
        <v>1.9037199999999999</v>
      </c>
      <c r="I112" s="38">
        <v>0</v>
      </c>
      <c r="J112" s="38">
        <f t="shared" si="46"/>
        <v>0</v>
      </c>
      <c r="K112" s="38">
        <v>2.47</v>
      </c>
      <c r="L112" s="39">
        <f t="shared" si="47"/>
        <v>47.021884</v>
      </c>
      <c r="M112" s="38">
        <f t="shared" si="48"/>
        <v>48.925604</v>
      </c>
      <c r="N112" s="51">
        <f t="shared" si="49"/>
        <v>2.5700000000000003</v>
      </c>
    </row>
    <row r="113" spans="2:14" ht="12.75">
      <c r="B113" s="82" t="s">
        <v>298</v>
      </c>
      <c r="C113" s="36" t="s">
        <v>72</v>
      </c>
      <c r="D113" s="35" t="s">
        <v>256</v>
      </c>
      <c r="E113" s="36" t="s">
        <v>15</v>
      </c>
      <c r="F113" s="106">
        <f>F108*1*0.2</f>
        <v>15.4</v>
      </c>
      <c r="G113" s="38">
        <v>0.59</v>
      </c>
      <c r="H113" s="38">
        <f t="shared" si="45"/>
        <v>9.086</v>
      </c>
      <c r="I113" s="38">
        <v>0</v>
      </c>
      <c r="J113" s="38">
        <f t="shared" si="46"/>
        <v>0</v>
      </c>
      <c r="K113" s="38">
        <v>14.19</v>
      </c>
      <c r="L113" s="39">
        <f t="shared" si="47"/>
        <v>218.526</v>
      </c>
      <c r="M113" s="38">
        <f t="shared" si="48"/>
        <v>227.61200000000002</v>
      </c>
      <c r="N113" s="51">
        <f t="shared" si="49"/>
        <v>14.78</v>
      </c>
    </row>
    <row r="114" spans="1:14" ht="27" customHeight="1">
      <c r="A114" s="77"/>
      <c r="B114" s="82" t="s">
        <v>299</v>
      </c>
      <c r="C114" s="88"/>
      <c r="D114" s="100" t="s">
        <v>262</v>
      </c>
      <c r="E114" s="88" t="s">
        <v>33</v>
      </c>
      <c r="F114" s="101">
        <f>F108</f>
        <v>77</v>
      </c>
      <c r="G114" s="102">
        <v>3.6</v>
      </c>
      <c r="H114" s="102">
        <f t="shared" si="45"/>
        <v>277.2</v>
      </c>
      <c r="I114" s="102">
        <v>32.51</v>
      </c>
      <c r="J114" s="102">
        <f t="shared" si="46"/>
        <v>2503.27</v>
      </c>
      <c r="K114" s="102">
        <v>54.79</v>
      </c>
      <c r="L114" s="103">
        <f t="shared" si="47"/>
        <v>4218.83</v>
      </c>
      <c r="M114" s="102">
        <f t="shared" si="48"/>
        <v>6999.3</v>
      </c>
      <c r="N114" s="97">
        <f t="shared" si="49"/>
        <v>90.9</v>
      </c>
    </row>
    <row r="115" spans="2:14" ht="13.5" thickBot="1">
      <c r="B115" s="82" t="s">
        <v>300</v>
      </c>
      <c r="C115" s="36"/>
      <c r="D115" s="35" t="s">
        <v>263</v>
      </c>
      <c r="E115" s="36" t="s">
        <v>55</v>
      </c>
      <c r="F115" s="37">
        <v>2</v>
      </c>
      <c r="G115" s="38">
        <v>54.52</v>
      </c>
      <c r="H115" s="38">
        <f t="shared" si="45"/>
        <v>109.04</v>
      </c>
      <c r="I115" s="38">
        <v>491.34</v>
      </c>
      <c r="J115" s="38">
        <f t="shared" si="46"/>
        <v>982.68</v>
      </c>
      <c r="K115" s="38">
        <v>828.1</v>
      </c>
      <c r="L115" s="39">
        <f t="shared" si="47"/>
        <v>1656.2</v>
      </c>
      <c r="M115" s="38">
        <f t="shared" si="48"/>
        <v>2747.92</v>
      </c>
      <c r="N115" s="51">
        <f t="shared" si="49"/>
        <v>1373.96</v>
      </c>
    </row>
    <row r="116" spans="2:14" s="14" customFormat="1" ht="13.5" thickBot="1">
      <c r="B116" s="44"/>
      <c r="C116" s="86"/>
      <c r="D116" s="45" t="s">
        <v>6</v>
      </c>
      <c r="E116" s="46"/>
      <c r="F116" s="47"/>
      <c r="G116" s="48"/>
      <c r="H116" s="48">
        <f>SUM(H108:H115)</f>
        <v>480.849332</v>
      </c>
      <c r="I116" s="48"/>
      <c r="J116" s="48">
        <f>SUM(J108:J115)</f>
        <v>3485.95</v>
      </c>
      <c r="K116" s="49"/>
      <c r="L116" s="48">
        <f>SUM(L108:L115)</f>
        <v>8164.7963</v>
      </c>
      <c r="M116" s="50">
        <f>H116+J116+L116</f>
        <v>12131.595632</v>
      </c>
      <c r="N116" s="27"/>
    </row>
    <row r="117" spans="2:14" ht="12.75">
      <c r="B117" s="25"/>
      <c r="C117" s="54"/>
      <c r="D117" s="25"/>
      <c r="E117" s="25"/>
      <c r="F117" s="26"/>
      <c r="G117" s="27"/>
      <c r="H117" s="28"/>
      <c r="I117" s="27"/>
      <c r="J117" s="28"/>
      <c r="K117" s="27"/>
      <c r="L117" s="28"/>
      <c r="M117" s="27"/>
      <c r="N117" s="27"/>
    </row>
    <row r="118" spans="2:14" ht="6.75" customHeight="1" thickBot="1">
      <c r="B118" s="25"/>
      <c r="C118" s="54"/>
      <c r="D118" s="25"/>
      <c r="E118" s="25"/>
      <c r="F118" s="58"/>
      <c r="G118" s="27"/>
      <c r="H118" s="28"/>
      <c r="I118" s="27"/>
      <c r="J118" s="51"/>
      <c r="K118" s="51"/>
      <c r="L118" s="51"/>
      <c r="M118" s="27"/>
      <c r="N118" s="28"/>
    </row>
    <row r="119" spans="2:14" s="14" customFormat="1" ht="13.5" thickBot="1">
      <c r="B119" s="53"/>
      <c r="C119" s="90"/>
      <c r="D119" s="45" t="s">
        <v>23</v>
      </c>
      <c r="E119" s="45"/>
      <c r="F119" s="49"/>
      <c r="G119" s="48"/>
      <c r="H119" s="48">
        <f>H94+H83+H72+H62+H51+H41+H31+H20+H105+H116</f>
        <v>19600.498846000002</v>
      </c>
      <c r="I119" s="48"/>
      <c r="J119" s="48">
        <f>J94+J83+J72+J62+J51+J41+J31+J20+J105+J116</f>
        <v>139636.757</v>
      </c>
      <c r="K119" s="48"/>
      <c r="L119" s="48">
        <f>L94+L83+L72+L62+L51+L41+L31+L20+L105+L116</f>
        <v>336127.10445</v>
      </c>
      <c r="M119" s="50">
        <f>L119+J119+H119</f>
        <v>495364.36029599997</v>
      </c>
      <c r="N119" s="27"/>
    </row>
    <row r="120" spans="2:14" ht="12.75">
      <c r="B120" s="25"/>
      <c r="C120" s="54"/>
      <c r="D120" s="96" t="s">
        <v>84</v>
      </c>
      <c r="E120" s="25"/>
      <c r="F120" s="58"/>
      <c r="G120" s="27"/>
      <c r="H120" s="28"/>
      <c r="I120" s="27"/>
      <c r="J120" s="28"/>
      <c r="K120" s="27"/>
      <c r="L120" s="28"/>
      <c r="M120" s="27"/>
      <c r="N120" s="28"/>
    </row>
    <row r="121" spans="2:14" ht="12.75">
      <c r="B121" s="25"/>
      <c r="C121" s="54"/>
      <c r="D121" s="96"/>
      <c r="E121" s="25"/>
      <c r="F121" s="58"/>
      <c r="G121" s="27"/>
      <c r="H121" s="28"/>
      <c r="I121" s="27"/>
      <c r="J121" s="28"/>
      <c r="K121" s="27"/>
      <c r="L121" s="28"/>
      <c r="M121" s="27"/>
      <c r="N121" s="28"/>
    </row>
    <row r="122" spans="2:14" ht="12.75">
      <c r="B122" s="25"/>
      <c r="C122" s="54"/>
      <c r="D122" s="54" t="s">
        <v>292</v>
      </c>
      <c r="E122" s="25"/>
      <c r="F122" s="58"/>
      <c r="G122" s="27"/>
      <c r="H122" s="28"/>
      <c r="I122" s="27"/>
      <c r="J122" s="28"/>
      <c r="K122" s="27"/>
      <c r="L122" s="28"/>
      <c r="M122" s="27"/>
      <c r="N122" s="28"/>
    </row>
    <row r="123" spans="2:14" ht="12.75">
      <c r="B123" s="25"/>
      <c r="C123" s="25"/>
      <c r="D123" s="25"/>
      <c r="E123" s="25"/>
      <c r="F123" s="58"/>
      <c r="G123" s="27"/>
      <c r="H123" s="28"/>
      <c r="I123" s="27"/>
      <c r="J123" s="28"/>
      <c r="K123" s="27"/>
      <c r="L123" s="28"/>
      <c r="M123" s="27"/>
      <c r="N123" s="28"/>
    </row>
    <row r="124" spans="2:14" ht="12.75">
      <c r="B124" s="25"/>
      <c r="C124" s="25"/>
      <c r="D124" s="25"/>
      <c r="E124" s="25"/>
      <c r="F124" s="58"/>
      <c r="G124" s="27"/>
      <c r="H124" s="28"/>
      <c r="I124" s="27"/>
      <c r="J124" s="28"/>
      <c r="K124" s="27"/>
      <c r="L124" s="28"/>
      <c r="M124" s="27"/>
      <c r="N124" s="28"/>
    </row>
    <row r="125" spans="2:14" ht="12.75">
      <c r="B125" s="25"/>
      <c r="C125" s="25"/>
      <c r="D125" s="25"/>
      <c r="E125" s="25"/>
      <c r="F125" s="58"/>
      <c r="G125" s="27"/>
      <c r="H125" s="28"/>
      <c r="I125" s="27"/>
      <c r="J125" s="28"/>
      <c r="K125" s="27"/>
      <c r="L125" s="28"/>
      <c r="M125" s="27"/>
      <c r="N125" s="28"/>
    </row>
  </sheetData>
  <sheetProtection/>
  <mergeCells count="6">
    <mergeCell ref="M9:M10"/>
    <mergeCell ref="B9:B10"/>
    <mergeCell ref="C9:C10"/>
    <mergeCell ref="D9:D10"/>
    <mergeCell ref="E9:E10"/>
    <mergeCell ref="F9:F10"/>
  </mergeCells>
  <printOptions/>
  <pageMargins left="0.5905511811023623" right="0.5905511811023623" top="0.984251968503937" bottom="0.984251968503937" header="0.5118110236220472" footer="0.5118110236220472"/>
  <pageSetup fitToHeight="4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90" zoomScaleNormal="90" zoomScalePageLayoutView="0" workbookViewId="0" topLeftCell="A1">
      <selection activeCell="J26" sqref="J26:K27"/>
    </sheetView>
  </sheetViews>
  <sheetFormatPr defaultColWidth="9.140625" defaultRowHeight="12.75"/>
  <cols>
    <col min="1" max="1" width="5.8515625" style="61" customWidth="1"/>
    <col min="2" max="3" width="9.140625" style="61" customWidth="1"/>
    <col min="4" max="4" width="14.7109375" style="61" customWidth="1"/>
    <col min="5" max="5" width="9.140625" style="61" customWidth="1"/>
    <col min="6" max="6" width="12.28125" style="61" customWidth="1"/>
    <col min="7" max="7" width="11.421875" style="61" customWidth="1"/>
    <col min="8" max="8" width="12.140625" style="61" customWidth="1"/>
    <col min="9" max="9" width="12.00390625" style="61" customWidth="1"/>
    <col min="10" max="10" width="11.00390625" style="61" customWidth="1"/>
    <col min="11" max="11" width="10.7109375" style="61" customWidth="1"/>
    <col min="12" max="12" width="11.00390625" style="61" customWidth="1"/>
    <col min="13" max="13" width="9.140625" style="61" customWidth="1"/>
    <col min="14" max="14" width="10.421875" style="61" customWidth="1"/>
    <col min="15" max="16384" width="9.140625" style="61" customWidth="1"/>
  </cols>
  <sheetData>
    <row r="1" spans="1:14" ht="13.5" thickTop="1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thickBot="1" thickTop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2"/>
    </row>
    <row r="4" spans="1:14" ht="14.25" thickBot="1" thickTop="1">
      <c r="A4" s="127" t="s">
        <v>24</v>
      </c>
      <c r="B4" s="127"/>
      <c r="C4" s="127"/>
      <c r="D4" s="127"/>
      <c r="E4" s="119" t="s">
        <v>100</v>
      </c>
      <c r="F4" s="120"/>
      <c r="G4" s="120"/>
      <c r="H4" s="120"/>
      <c r="I4" s="120"/>
      <c r="J4" s="121"/>
      <c r="K4" s="122" t="s">
        <v>101</v>
      </c>
      <c r="L4" s="123"/>
      <c r="M4" s="123"/>
      <c r="N4" s="124"/>
    </row>
    <row r="5" spans="1:14" ht="14.25" thickBot="1" thickTop="1">
      <c r="A5" s="64"/>
      <c r="B5" s="64"/>
      <c r="C5" s="6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4.25" thickBot="1" thickTop="1">
      <c r="A6" s="66" t="s">
        <v>25</v>
      </c>
      <c r="B6" s="128" t="s">
        <v>26</v>
      </c>
      <c r="C6" s="128"/>
      <c r="D6" s="128"/>
      <c r="E6" s="128"/>
      <c r="F6" s="128"/>
      <c r="G6" s="66">
        <v>30</v>
      </c>
      <c r="H6" s="66">
        <v>60</v>
      </c>
      <c r="I6" s="66">
        <v>90</v>
      </c>
      <c r="J6" s="66">
        <v>120</v>
      </c>
      <c r="K6" s="66">
        <v>150</v>
      </c>
      <c r="L6" s="66">
        <v>180</v>
      </c>
      <c r="M6" s="129" t="s">
        <v>27</v>
      </c>
      <c r="N6" s="129"/>
    </row>
    <row r="7" spans="1:14" ht="13.5" thickTop="1">
      <c r="A7" s="67">
        <v>1</v>
      </c>
      <c r="B7" s="117" t="s">
        <v>264</v>
      </c>
      <c r="C7" s="118"/>
      <c r="D7" s="118"/>
      <c r="E7" s="118"/>
      <c r="F7" s="118"/>
      <c r="G7" s="68">
        <v>42088.88</v>
      </c>
      <c r="H7" s="68">
        <v>180727.85</v>
      </c>
      <c r="I7" s="68">
        <f>I8*M7</f>
        <v>253763.49964999998</v>
      </c>
      <c r="J7" s="68">
        <f>J8*M7</f>
        <v>253763.49964999998</v>
      </c>
      <c r="K7" s="68">
        <f>K8*M7</f>
        <v>253763.49964999998</v>
      </c>
      <c r="L7" s="68">
        <f>L8*M7</f>
        <v>253763.49964999998</v>
      </c>
      <c r="M7" s="130">
        <v>1237870.73</v>
      </c>
      <c r="N7" s="130"/>
    </row>
    <row r="8" spans="1:14" ht="13.5" thickBot="1">
      <c r="A8" s="69"/>
      <c r="B8" s="131"/>
      <c r="C8" s="131"/>
      <c r="D8" s="131"/>
      <c r="E8" s="131"/>
      <c r="F8" s="131"/>
      <c r="G8" s="70">
        <v>0.034</v>
      </c>
      <c r="H8" s="70">
        <v>0.146</v>
      </c>
      <c r="I8" s="70">
        <v>0.205</v>
      </c>
      <c r="J8" s="70">
        <v>0.205</v>
      </c>
      <c r="K8" s="70">
        <v>0.205</v>
      </c>
      <c r="L8" s="70">
        <v>0.205</v>
      </c>
      <c r="M8" s="132">
        <f>M7/M15</f>
        <v>0.6198151399068108</v>
      </c>
      <c r="N8" s="132"/>
    </row>
    <row r="9" spans="1:14" ht="13.5" thickTop="1">
      <c r="A9" s="67">
        <v>2</v>
      </c>
      <c r="B9" s="117" t="s">
        <v>265</v>
      </c>
      <c r="C9" s="118"/>
      <c r="D9" s="118"/>
      <c r="E9" s="118"/>
      <c r="F9" s="118"/>
      <c r="G9" s="68">
        <f>G10*M9</f>
        <v>119491.608</v>
      </c>
      <c r="H9" s="68">
        <f>H10*M9</f>
        <v>79661.072</v>
      </c>
      <c r="I9" s="68"/>
      <c r="J9" s="68"/>
      <c r="K9" s="68"/>
      <c r="L9" s="68"/>
      <c r="M9" s="130">
        <v>199152.68</v>
      </c>
      <c r="N9" s="130"/>
    </row>
    <row r="10" spans="1:14" ht="13.5" thickBot="1">
      <c r="A10" s="69"/>
      <c r="B10" s="131"/>
      <c r="C10" s="131"/>
      <c r="D10" s="131"/>
      <c r="E10" s="131"/>
      <c r="F10" s="131"/>
      <c r="G10" s="70">
        <v>0.6</v>
      </c>
      <c r="H10" s="70">
        <v>0.4</v>
      </c>
      <c r="I10" s="70"/>
      <c r="J10" s="70"/>
      <c r="K10" s="70"/>
      <c r="L10" s="70"/>
      <c r="M10" s="132">
        <f>M9/M15</f>
        <v>0.0997178810561393</v>
      </c>
      <c r="N10" s="132"/>
    </row>
    <row r="11" spans="1:14" ht="13.5" thickTop="1">
      <c r="A11" s="67">
        <v>3</v>
      </c>
      <c r="B11" s="117" t="s">
        <v>319</v>
      </c>
      <c r="C11" s="118"/>
      <c r="D11" s="118"/>
      <c r="E11" s="118"/>
      <c r="F11" s="118"/>
      <c r="G11" s="68"/>
      <c r="H11" s="68">
        <f>H12*M11</f>
        <v>59634.63</v>
      </c>
      <c r="I11" s="68">
        <f>I12*M11</f>
        <v>67917.2175</v>
      </c>
      <c r="J11" s="68">
        <f>J12*M11</f>
        <v>67917.2175</v>
      </c>
      <c r="K11" s="68">
        <f>K12*M11</f>
        <v>67917.2175</v>
      </c>
      <c r="L11" s="68">
        <f>L12*M11</f>
        <v>67917.2175</v>
      </c>
      <c r="M11" s="130">
        <v>331303.5</v>
      </c>
      <c r="N11" s="130"/>
    </row>
    <row r="12" spans="1:14" ht="13.5" thickBot="1">
      <c r="A12" s="69"/>
      <c r="B12" s="131"/>
      <c r="C12" s="131"/>
      <c r="D12" s="131"/>
      <c r="E12" s="131"/>
      <c r="F12" s="131"/>
      <c r="G12" s="70"/>
      <c r="H12" s="70">
        <v>0.18</v>
      </c>
      <c r="I12" s="70">
        <v>0.205</v>
      </c>
      <c r="J12" s="70">
        <v>0.205</v>
      </c>
      <c r="K12" s="70">
        <v>0.205</v>
      </c>
      <c r="L12" s="70">
        <v>0.205</v>
      </c>
      <c r="M12" s="132">
        <f>M11/M15</f>
        <v>0.1658872127981539</v>
      </c>
      <c r="N12" s="132"/>
    </row>
    <row r="13" spans="1:14" ht="13.5" thickTop="1">
      <c r="A13" s="67">
        <v>4</v>
      </c>
      <c r="B13" s="117" t="s">
        <v>318</v>
      </c>
      <c r="C13" s="118"/>
      <c r="D13" s="118"/>
      <c r="E13" s="118"/>
      <c r="F13" s="118"/>
      <c r="G13" s="68">
        <f>G14*M13</f>
        <v>137300.556</v>
      </c>
      <c r="H13" s="68">
        <f>H14*M13</f>
        <v>91533.70400000001</v>
      </c>
      <c r="I13" s="68"/>
      <c r="J13" s="68"/>
      <c r="K13" s="68"/>
      <c r="L13" s="68"/>
      <c r="M13" s="130">
        <v>228834.26</v>
      </c>
      <c r="N13" s="130"/>
    </row>
    <row r="14" spans="1:14" ht="13.5" thickBot="1">
      <c r="A14" s="69"/>
      <c r="B14" s="136"/>
      <c r="C14" s="137"/>
      <c r="D14" s="137"/>
      <c r="E14" s="137"/>
      <c r="F14" s="138"/>
      <c r="G14" s="70">
        <v>0.6</v>
      </c>
      <c r="H14" s="70">
        <v>0.4</v>
      </c>
      <c r="I14" s="70"/>
      <c r="J14" s="70"/>
      <c r="K14" s="70"/>
      <c r="L14" s="70"/>
      <c r="M14" s="139">
        <f>M13/M15</f>
        <v>0.11457976623889599</v>
      </c>
      <c r="N14" s="140"/>
    </row>
    <row r="15" spans="1:14" ht="13.5" thickTop="1">
      <c r="A15" s="71"/>
      <c r="B15" s="72"/>
      <c r="C15" s="72"/>
      <c r="D15" s="72"/>
      <c r="E15" s="133" t="s">
        <v>28</v>
      </c>
      <c r="F15" s="133"/>
      <c r="G15" s="73">
        <f aca="true" t="shared" si="0" ref="G15:M15">SUM(G7,G13,G9,G11)</f>
        <v>298881.044</v>
      </c>
      <c r="H15" s="73">
        <f t="shared" si="0"/>
        <v>411557.256</v>
      </c>
      <c r="I15" s="73">
        <f t="shared" si="0"/>
        <v>321680.71715</v>
      </c>
      <c r="J15" s="73">
        <f t="shared" si="0"/>
        <v>321680.71715</v>
      </c>
      <c r="K15" s="73">
        <f t="shared" si="0"/>
        <v>321680.71715</v>
      </c>
      <c r="L15" s="73">
        <f t="shared" si="0"/>
        <v>321680.71715</v>
      </c>
      <c r="M15" s="134">
        <f t="shared" si="0"/>
        <v>1997161.17</v>
      </c>
      <c r="N15" s="135"/>
    </row>
    <row r="16" spans="1:14" ht="13.5" thickBot="1">
      <c r="A16" s="74"/>
      <c r="E16" s="142" t="s">
        <v>29</v>
      </c>
      <c r="F16" s="142"/>
      <c r="G16" s="75">
        <f>G15/M15</f>
        <v>0.14965294163014395</v>
      </c>
      <c r="H16" s="75">
        <f>H15/M15</f>
        <v>0.20607112845078998</v>
      </c>
      <c r="I16" s="75">
        <f>I15/M15</f>
        <v>0.16106898230451777</v>
      </c>
      <c r="J16" s="75">
        <f>J15/M15</f>
        <v>0.16106898230451777</v>
      </c>
      <c r="K16" s="75">
        <f>K15/M15</f>
        <v>0.16106898230451777</v>
      </c>
      <c r="L16" s="75">
        <f>L15/M15</f>
        <v>0.16106898230451777</v>
      </c>
      <c r="M16" s="141">
        <f>SUM(M8,M14,M10,M12)</f>
        <v>1</v>
      </c>
      <c r="N16" s="141"/>
    </row>
    <row r="17" ht="13.5" thickTop="1">
      <c r="A17" s="74"/>
    </row>
    <row r="20" spans="2:12" ht="12.75">
      <c r="B20" s="143"/>
      <c r="C20" s="143"/>
      <c r="D20" s="143"/>
      <c r="E20" s="143"/>
      <c r="F20" s="143"/>
      <c r="G20" s="143"/>
      <c r="H20" s="143"/>
      <c r="I20" s="84"/>
      <c r="J20" s="84"/>
      <c r="K20" s="84"/>
      <c r="L20" s="84"/>
    </row>
    <row r="21" spans="2:12" ht="12.75">
      <c r="B21" s="144"/>
      <c r="C21" s="143"/>
      <c r="D21" s="143"/>
      <c r="E21" s="145"/>
      <c r="F21" s="145"/>
      <c r="G21" s="145"/>
      <c r="H21" s="144"/>
      <c r="I21" s="143"/>
      <c r="J21" s="143"/>
      <c r="K21" s="72"/>
      <c r="L21" s="72"/>
    </row>
    <row r="22" spans="2:12" ht="12.75">
      <c r="B22" s="143"/>
      <c r="C22" s="143"/>
      <c r="D22" s="143"/>
      <c r="E22" s="146" t="s">
        <v>320</v>
      </c>
      <c r="F22" s="146"/>
      <c r="G22" s="146"/>
      <c r="H22" s="144"/>
      <c r="I22" s="143"/>
      <c r="J22" s="143"/>
      <c r="K22" s="83"/>
      <c r="L22" s="83"/>
    </row>
    <row r="23" spans="2:12" ht="12.75">
      <c r="B23" s="54"/>
      <c r="C23" s="145"/>
      <c r="D23" s="145"/>
      <c r="F23" s="145"/>
      <c r="G23" s="145"/>
      <c r="H23" s="144"/>
      <c r="I23" s="143"/>
      <c r="J23" s="143"/>
      <c r="K23" s="83"/>
      <c r="L23" s="83"/>
    </row>
    <row r="24" spans="2:10" ht="12.75">
      <c r="B24" s="25"/>
      <c r="C24" s="145"/>
      <c r="D24" s="145"/>
      <c r="E24" s="145"/>
      <c r="F24" s="145"/>
      <c r="G24" s="145"/>
      <c r="H24" s="145"/>
      <c r="I24" s="145"/>
      <c r="J24" s="145"/>
    </row>
    <row r="25" spans="2:10" ht="12.75">
      <c r="B25" s="25"/>
      <c r="C25" s="145"/>
      <c r="D25" s="145"/>
      <c r="E25" s="145"/>
      <c r="F25" s="145"/>
      <c r="G25" s="145"/>
      <c r="H25" s="145"/>
      <c r="I25" s="145"/>
      <c r="J25" s="145"/>
    </row>
    <row r="26" ht="12.75">
      <c r="B26" s="25" t="s">
        <v>321</v>
      </c>
    </row>
    <row r="27" ht="12.75">
      <c r="B27" s="25" t="s">
        <v>322</v>
      </c>
    </row>
    <row r="28" spans="2:11" ht="12.75">
      <c r="B28" s="25" t="s">
        <v>323</v>
      </c>
      <c r="K28" s="112"/>
    </row>
  </sheetData>
  <sheetProtection/>
  <mergeCells count="34">
    <mergeCell ref="B22:D22"/>
    <mergeCell ref="H22:J22"/>
    <mergeCell ref="H23:J23"/>
    <mergeCell ref="B21:D21"/>
    <mergeCell ref="H21:J21"/>
    <mergeCell ref="M16:N16"/>
    <mergeCell ref="E16:F16"/>
    <mergeCell ref="B20:H20"/>
    <mergeCell ref="E22:G22"/>
    <mergeCell ref="B8:F8"/>
    <mergeCell ref="M8:N8"/>
    <mergeCell ref="E15:F15"/>
    <mergeCell ref="M15:N15"/>
    <mergeCell ref="B13:F13"/>
    <mergeCell ref="M13:N13"/>
    <mergeCell ref="B14:F14"/>
    <mergeCell ref="M14:N14"/>
    <mergeCell ref="B10:F10"/>
    <mergeCell ref="M10:N10"/>
    <mergeCell ref="B11:F11"/>
    <mergeCell ref="M11:N11"/>
    <mergeCell ref="B12:F12"/>
    <mergeCell ref="M12:N12"/>
    <mergeCell ref="B9:F9"/>
    <mergeCell ref="M9:N9"/>
    <mergeCell ref="B7:F7"/>
    <mergeCell ref="E4:J4"/>
    <mergeCell ref="K4:N4"/>
    <mergeCell ref="A1:N1"/>
    <mergeCell ref="A2:N2"/>
    <mergeCell ref="A4:D4"/>
    <mergeCell ref="B6:F6"/>
    <mergeCell ref="M6:N6"/>
    <mergeCell ref="M7:N7"/>
  </mergeCells>
  <printOptions/>
  <pageMargins left="0.7874015748031497" right="0.7874015748031497" top="0.9055118110236221" bottom="0.3937007874015748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Lauson</dc:creator>
  <cp:keywords/>
  <dc:description/>
  <cp:lastModifiedBy>ADAMES</cp:lastModifiedBy>
  <cp:lastPrinted>2011-04-08T16:12:12Z</cp:lastPrinted>
  <dcterms:created xsi:type="dcterms:W3CDTF">2009-08-31T16:51:50Z</dcterms:created>
  <dcterms:modified xsi:type="dcterms:W3CDTF">2011-07-25T13:03:18Z</dcterms:modified>
  <cp:category/>
  <cp:version/>
  <cp:contentType/>
  <cp:contentStatus/>
</cp:coreProperties>
</file>